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8070"/>
  </bookViews>
  <sheets>
    <sheet name="2024 год" sheetId="1" r:id="rId1"/>
  </sheets>
  <calcPr calcId="144525"/>
</workbook>
</file>

<file path=xl/calcChain.xml><?xml version="1.0" encoding="utf-8"?>
<calcChain xmlns="http://schemas.openxmlformats.org/spreadsheetml/2006/main">
  <c r="K69" i="1" l="1"/>
  <c r="K68" i="1"/>
  <c r="D22" i="1" l="1"/>
  <c r="F44" i="1"/>
  <c r="I56" i="1"/>
  <c r="G56" i="1"/>
  <c r="G60" i="1"/>
  <c r="I60" i="1"/>
  <c r="G59" i="1"/>
  <c r="I58" i="1"/>
  <c r="G58" i="1"/>
  <c r="G57" i="1"/>
  <c r="I57" i="1"/>
  <c r="I39" i="1"/>
  <c r="G39" i="1"/>
  <c r="I51" i="1"/>
  <c r="G51" i="1"/>
  <c r="I50" i="1"/>
  <c r="G50" i="1"/>
  <c r="I52" i="1"/>
  <c r="G52" i="1"/>
  <c r="I49" i="1"/>
  <c r="G49" i="1"/>
  <c r="I54" i="1"/>
  <c r="G54" i="1"/>
  <c r="I21" i="1"/>
  <c r="G21" i="1"/>
  <c r="E15" i="1"/>
  <c r="C20" i="1"/>
  <c r="E50" i="1"/>
  <c r="E52" i="1"/>
  <c r="E54" i="1"/>
  <c r="E49" i="1"/>
  <c r="E38" i="1"/>
  <c r="E39" i="1"/>
  <c r="C61" i="1"/>
  <c r="C60" i="1"/>
  <c r="C59" i="1"/>
  <c r="C58" i="1"/>
  <c r="C57" i="1"/>
  <c r="C56" i="1"/>
  <c r="C54" i="1"/>
  <c r="C52" i="1"/>
  <c r="C51" i="1"/>
  <c r="C50" i="1"/>
  <c r="C49" i="1"/>
  <c r="C45" i="1"/>
  <c r="C44" i="1"/>
  <c r="C43" i="1"/>
  <c r="C42" i="1"/>
  <c r="C41" i="1" s="1"/>
  <c r="C40" i="1"/>
  <c r="C39" i="1" s="1"/>
  <c r="C38" i="1"/>
  <c r="C37" i="1"/>
  <c r="C36" i="1"/>
  <c r="C34" i="1"/>
  <c r="C33" i="1"/>
  <c r="C21" i="1"/>
  <c r="C16" i="1"/>
  <c r="C8" i="1"/>
  <c r="C15" i="1" l="1"/>
  <c r="C26" i="1" s="1"/>
  <c r="C32" i="1"/>
  <c r="C55" i="1"/>
  <c r="C48" i="1"/>
  <c r="L18" i="1"/>
  <c r="L17" i="1"/>
  <c r="L69" i="1"/>
  <c r="L68" i="1"/>
  <c r="C7" i="1" l="1"/>
  <c r="C64" i="1" s="1"/>
  <c r="C65" i="1" s="1"/>
  <c r="C62" i="1"/>
  <c r="L53" i="1"/>
  <c r="L47" i="1" l="1"/>
  <c r="G32" i="1"/>
  <c r="L44" i="1" l="1"/>
  <c r="K44" i="1"/>
  <c r="I32" i="1"/>
  <c r="L22" i="1"/>
  <c r="K22" i="1"/>
  <c r="L58" i="1" l="1"/>
  <c r="K58" i="1"/>
  <c r="K56" i="1"/>
  <c r="L59" i="1"/>
  <c r="L57" i="1"/>
  <c r="I41" i="1"/>
  <c r="G41" i="1"/>
  <c r="E41" i="1"/>
  <c r="E55" i="1"/>
  <c r="F61" i="1" s="1"/>
  <c r="K60" i="1" l="1"/>
  <c r="L56" i="1"/>
  <c r="K61" i="1"/>
  <c r="K59" i="1"/>
  <c r="K57" i="1"/>
  <c r="G55" i="1"/>
  <c r="H56" i="1" s="1"/>
  <c r="L60" i="1"/>
  <c r="I55" i="1"/>
  <c r="F58" i="1"/>
  <c r="F59" i="1"/>
  <c r="F56" i="1"/>
  <c r="F60" i="1"/>
  <c r="F57" i="1"/>
  <c r="H57" i="1" l="1"/>
  <c r="H60" i="1"/>
  <c r="I48" i="1"/>
  <c r="J44" i="1" s="1"/>
  <c r="G48" i="1"/>
  <c r="H44" i="1" s="1"/>
  <c r="L20" i="1"/>
  <c r="D59" i="1"/>
  <c r="D56" i="1"/>
  <c r="D61" i="1"/>
  <c r="D58" i="1"/>
  <c r="H61" i="1"/>
  <c r="H58" i="1"/>
  <c r="D60" i="1"/>
  <c r="H59" i="1"/>
  <c r="D57" i="1"/>
  <c r="J56" i="1"/>
  <c r="L55" i="1"/>
  <c r="J59" i="1"/>
  <c r="J61" i="1"/>
  <c r="K55" i="1"/>
  <c r="J60" i="1"/>
  <c r="J58" i="1"/>
  <c r="J57" i="1"/>
  <c r="K53" i="1"/>
  <c r="K47" i="1"/>
  <c r="L51" i="1" l="1"/>
  <c r="K51" i="1"/>
  <c r="K50" i="1"/>
  <c r="L49" i="1"/>
  <c r="L54" i="1" l="1"/>
  <c r="L52" i="1"/>
  <c r="L50" i="1"/>
  <c r="K54" i="1"/>
  <c r="K49" i="1"/>
  <c r="K52" i="1"/>
  <c r="H40" i="1" l="1"/>
  <c r="L24" i="1"/>
  <c r="K24" i="1"/>
  <c r="F40" i="1"/>
  <c r="E21" i="1"/>
  <c r="D33" i="1"/>
  <c r="D40" i="1"/>
  <c r="K19" i="1"/>
  <c r="I8" i="1"/>
  <c r="J34" i="1"/>
  <c r="H36" i="1"/>
  <c r="E32" i="1"/>
  <c r="G8" i="1"/>
  <c r="I16" i="1"/>
  <c r="I15" i="1" s="1"/>
  <c r="G16" i="1"/>
  <c r="G15" i="1" s="1"/>
  <c r="K11" i="1"/>
  <c r="E8" i="1"/>
  <c r="E16" i="1"/>
  <c r="J40" i="1"/>
  <c r="K40" i="1"/>
  <c r="L40" i="1"/>
  <c r="L33" i="1"/>
  <c r="L34" i="1"/>
  <c r="L36" i="1"/>
  <c r="L37" i="1"/>
  <c r="L38" i="1"/>
  <c r="L39" i="1"/>
  <c r="L42" i="1"/>
  <c r="L43" i="1"/>
  <c r="L46" i="1"/>
  <c r="L63" i="1"/>
  <c r="K33" i="1"/>
  <c r="K34" i="1"/>
  <c r="K35" i="1"/>
  <c r="K36" i="1"/>
  <c r="K37" i="1"/>
  <c r="K38" i="1"/>
  <c r="K39" i="1"/>
  <c r="K42" i="1"/>
  <c r="K43" i="1"/>
  <c r="K45" i="1"/>
  <c r="K46" i="1"/>
  <c r="K63" i="1"/>
  <c r="L9" i="1"/>
  <c r="L10" i="1"/>
  <c r="L12" i="1"/>
  <c r="L13" i="1"/>
  <c r="L14" i="1"/>
  <c r="L23" i="1"/>
  <c r="L25" i="1"/>
  <c r="K9" i="1"/>
  <c r="K10" i="1"/>
  <c r="K12" i="1"/>
  <c r="K13" i="1"/>
  <c r="K14" i="1"/>
  <c r="K17" i="1"/>
  <c r="K18" i="1"/>
  <c r="K20" i="1"/>
  <c r="K23" i="1"/>
  <c r="K25" i="1"/>
  <c r="F34" i="1" l="1"/>
  <c r="E48" i="1"/>
  <c r="J42" i="1"/>
  <c r="H43" i="1"/>
  <c r="F35" i="1"/>
  <c r="J43" i="1"/>
  <c r="D53" i="1"/>
  <c r="D34" i="1"/>
  <c r="D35" i="1"/>
  <c r="D36" i="1"/>
  <c r="L41" i="1"/>
  <c r="K41" i="1"/>
  <c r="J35" i="1"/>
  <c r="J36" i="1"/>
  <c r="J33" i="1"/>
  <c r="H35" i="1"/>
  <c r="L32" i="1"/>
  <c r="F36" i="1"/>
  <c r="F33" i="1"/>
  <c r="K21" i="1"/>
  <c r="L21" i="1"/>
  <c r="E26" i="1"/>
  <c r="E7" i="1"/>
  <c r="F18" i="1" s="1"/>
  <c r="H33" i="1"/>
  <c r="K32" i="1"/>
  <c r="F43" i="1"/>
  <c r="H34" i="1"/>
  <c r="H42" i="1"/>
  <c r="F42" i="1"/>
  <c r="L19" i="1"/>
  <c r="L16" i="1"/>
  <c r="K16" i="1"/>
  <c r="L8" i="1"/>
  <c r="K8" i="1"/>
  <c r="G7" i="1"/>
  <c r="G26" i="1"/>
  <c r="I7" i="1"/>
  <c r="I26" i="1"/>
  <c r="L15" i="1"/>
  <c r="K15" i="1"/>
  <c r="F53" i="1" l="1"/>
  <c r="F47" i="1"/>
  <c r="F45" i="1"/>
  <c r="F46" i="1"/>
  <c r="J15" i="1"/>
  <c r="J22" i="1"/>
  <c r="H22" i="1"/>
  <c r="D20" i="1"/>
  <c r="J53" i="1"/>
  <c r="J47" i="1"/>
  <c r="H47" i="1"/>
  <c r="H53" i="1"/>
  <c r="H39" i="1"/>
  <c r="H52" i="1"/>
  <c r="H51" i="1"/>
  <c r="H50" i="1"/>
  <c r="H49" i="1"/>
  <c r="H54" i="1"/>
  <c r="F16" i="1"/>
  <c r="F19" i="1"/>
  <c r="D11" i="1"/>
  <c r="J46" i="1"/>
  <c r="J51" i="1"/>
  <c r="J50" i="1"/>
  <c r="J49" i="1"/>
  <c r="J54" i="1"/>
  <c r="J52" i="1"/>
  <c r="F37" i="1"/>
  <c r="F49" i="1"/>
  <c r="F51" i="1"/>
  <c r="F54" i="1"/>
  <c r="F52" i="1"/>
  <c r="F50" i="1"/>
  <c r="F15" i="1"/>
  <c r="J32" i="1"/>
  <c r="H15" i="1"/>
  <c r="D42" i="1"/>
  <c r="D43" i="1"/>
  <c r="J37" i="1"/>
  <c r="J41" i="1"/>
  <c r="J45" i="1"/>
  <c r="J39" i="1"/>
  <c r="J38" i="1"/>
  <c r="F32" i="1"/>
  <c r="F39" i="1"/>
  <c r="F38" i="1"/>
  <c r="F41" i="1"/>
  <c r="H45" i="1"/>
  <c r="H46" i="1"/>
  <c r="H38" i="1"/>
  <c r="H37" i="1"/>
  <c r="L48" i="1"/>
  <c r="H41" i="1"/>
  <c r="H32" i="1"/>
  <c r="K48" i="1"/>
  <c r="F26" i="1"/>
  <c r="E62" i="1"/>
  <c r="F24" i="1"/>
  <c r="F25" i="1"/>
  <c r="F20" i="1"/>
  <c r="F14" i="1"/>
  <c r="F9" i="1"/>
  <c r="F17" i="1"/>
  <c r="F11" i="1"/>
  <c r="F21" i="1"/>
  <c r="F12" i="1"/>
  <c r="E64" i="1"/>
  <c r="E65" i="1" s="1"/>
  <c r="F10" i="1"/>
  <c r="F23" i="1"/>
  <c r="F13" i="1"/>
  <c r="F8" i="1"/>
  <c r="D24" i="1"/>
  <c r="D14" i="1"/>
  <c r="D15" i="1"/>
  <c r="D8" i="1"/>
  <c r="D23" i="1"/>
  <c r="D9" i="1"/>
  <c r="D25" i="1"/>
  <c r="D10" i="1"/>
  <c r="D17" i="1"/>
  <c r="D13" i="1"/>
  <c r="D18" i="1"/>
  <c r="D19" i="1"/>
  <c r="D12" i="1"/>
  <c r="D16" i="1"/>
  <c r="D21" i="1"/>
  <c r="D26" i="1"/>
  <c r="I62" i="1"/>
  <c r="L26" i="1"/>
  <c r="K26" i="1"/>
  <c r="J26" i="1"/>
  <c r="J24" i="1"/>
  <c r="J11" i="1"/>
  <c r="I64" i="1"/>
  <c r="L7" i="1"/>
  <c r="K7" i="1"/>
  <c r="J25" i="1"/>
  <c r="J23" i="1"/>
  <c r="J21" i="1"/>
  <c r="J20" i="1"/>
  <c r="J18" i="1"/>
  <c r="J17" i="1"/>
  <c r="J16" i="1"/>
  <c r="J14" i="1"/>
  <c r="J13" i="1"/>
  <c r="J12" i="1"/>
  <c r="J10" i="1"/>
  <c r="J9" i="1"/>
  <c r="J8" i="1"/>
  <c r="J19" i="1"/>
  <c r="G62" i="1"/>
  <c r="H26" i="1"/>
  <c r="H8" i="1"/>
  <c r="H11" i="1"/>
  <c r="G64" i="1"/>
  <c r="G65" i="1" s="1"/>
  <c r="H25" i="1"/>
  <c r="H23" i="1"/>
  <c r="H21" i="1"/>
  <c r="H18" i="1"/>
  <c r="H17" i="1"/>
  <c r="H16" i="1"/>
  <c r="H14" i="1"/>
  <c r="H13" i="1"/>
  <c r="H12" i="1"/>
  <c r="H10" i="1"/>
  <c r="H9" i="1"/>
  <c r="H20" i="1"/>
  <c r="H24" i="1"/>
  <c r="H19" i="1"/>
  <c r="D46" i="1" l="1"/>
  <c r="D51" i="1"/>
  <c r="D49" i="1"/>
  <c r="D52" i="1"/>
  <c r="D54" i="1"/>
  <c r="D50" i="1"/>
  <c r="D47" i="1"/>
  <c r="D41" i="1"/>
  <c r="D39" i="1"/>
  <c r="D37" i="1"/>
  <c r="D32" i="1"/>
  <c r="D38" i="1"/>
  <c r="D45" i="1"/>
  <c r="L62" i="1"/>
  <c r="K62" i="1"/>
</calcChain>
</file>

<file path=xl/sharedStrings.xml><?xml version="1.0" encoding="utf-8"?>
<sst xmlns="http://schemas.openxmlformats.org/spreadsheetml/2006/main" count="87" uniqueCount="74">
  <si>
    <t>тыс. руб.</t>
  </si>
  <si>
    <t>Уд. вес (%)</t>
  </si>
  <si>
    <t>отклон.</t>
  </si>
  <si>
    <t>%</t>
  </si>
  <si>
    <t>НДФЛ</t>
  </si>
  <si>
    <t>Налог на имущество физ. лиц</t>
  </si>
  <si>
    <t>Земельный налог</t>
  </si>
  <si>
    <t>Госпошлина</t>
  </si>
  <si>
    <t>Субвенции</t>
  </si>
  <si>
    <t>Иные межбюджет трансферты</t>
  </si>
  <si>
    <t>Глава поселения</t>
  </si>
  <si>
    <t>Администрация</t>
  </si>
  <si>
    <t>Резервный фонд</t>
  </si>
  <si>
    <t>Другие общегос. вопросы</t>
  </si>
  <si>
    <t>Национальная оборона</t>
  </si>
  <si>
    <t>Национальная безопасность</t>
  </si>
  <si>
    <t>Жилищное хозяйство</t>
  </si>
  <si>
    <t>Благоустройство</t>
  </si>
  <si>
    <t>Культура и кинематография</t>
  </si>
  <si>
    <t>Социальная политика</t>
  </si>
  <si>
    <t>Расходы</t>
  </si>
  <si>
    <t>Доля общегосударственных расходов в объеме собственных доходов</t>
  </si>
  <si>
    <t>Норматив на содержание ОМС</t>
  </si>
  <si>
    <t>Дефицит (-), профицит (+)</t>
  </si>
  <si>
    <t>Акцизы</t>
  </si>
  <si>
    <t>Собственные доходы, всего</t>
  </si>
  <si>
    <t xml:space="preserve">Национальная экономика </t>
  </si>
  <si>
    <t xml:space="preserve">Дорожное хозяйство </t>
  </si>
  <si>
    <t>ЕСХН</t>
  </si>
  <si>
    <t>Показатель</t>
  </si>
  <si>
    <t>Общегосударственные расходы</t>
  </si>
  <si>
    <t>Обслуживание муниципального долга</t>
  </si>
  <si>
    <t>Остатки средств</t>
  </si>
  <si>
    <t>Приложение к заключению</t>
  </si>
  <si>
    <t>Доходы, всего, в т.ч.:</t>
  </si>
  <si>
    <t>Налоговые доходы, всего, в т.ч.:</t>
  </si>
  <si>
    <t>Неналоговые доходы, всего, в т.ч.:</t>
  </si>
  <si>
    <t xml:space="preserve">Субсидии </t>
  </si>
  <si>
    <t>Муниципальный долг</t>
  </si>
  <si>
    <t>Доходы от продажи земельных участков</t>
  </si>
  <si>
    <t>300 Социальное обеспечение и иные выплаты населению</t>
  </si>
  <si>
    <t>500  Межбюджетные трансферты</t>
  </si>
  <si>
    <t xml:space="preserve">800 Иные бюджетные ассигнования </t>
  </si>
  <si>
    <t>Доля дефицита бюджета в объеме год объема доходов бюджета без учета утвержд объема безвозмезд поступ</t>
  </si>
  <si>
    <t>Анализ исполнения расходной части бюджета поселения</t>
  </si>
  <si>
    <t xml:space="preserve">Исполнение </t>
  </si>
  <si>
    <t>Прочие поступ-ния от исп имущества</t>
  </si>
  <si>
    <t>Безвозмездн поступл-я, всего, в т.ч.:</t>
  </si>
  <si>
    <t xml:space="preserve">200 Закупка товаров, работ и услуг для обеспечения муниципальных нужд </t>
  </si>
  <si>
    <t>700 Обслуживание муницип-ного долга</t>
  </si>
  <si>
    <t>Муниципальные программы</t>
  </si>
  <si>
    <t>Развитие муниципального управления</t>
  </si>
  <si>
    <t>Развитие транспортной системы</t>
  </si>
  <si>
    <t>Развитие строительства и архитектуры</t>
  </si>
  <si>
    <t>Развитие жилищно-коммунального хозяйства, благоустройства и охраны окружающей среды</t>
  </si>
  <si>
    <t xml:space="preserve">Развитие культуры и досуга </t>
  </si>
  <si>
    <t>Факт 2023 г.</t>
  </si>
  <si>
    <t>Дотации</t>
  </si>
  <si>
    <t>Аренда земли</t>
  </si>
  <si>
    <t>Охрана окружающей среды</t>
  </si>
  <si>
    <t>Дебиторская задолженность</t>
  </si>
  <si>
    <t>Кредиторская задолженность</t>
  </si>
  <si>
    <t>Обеспечение безопасности жизнедеятельности населения</t>
  </si>
  <si>
    <t xml:space="preserve">100 Расходы на выплаты персоналу в целях обеспечения выполнения функций </t>
  </si>
  <si>
    <t>Жилищно-коммунальное хозяйство</t>
  </si>
  <si>
    <t>Анализ исполнения доходной части бюджета  Ленинского сельского  поселения  за 2024 год</t>
  </si>
  <si>
    <t>Факт     2024 г.</t>
  </si>
  <si>
    <t>План 2024  уточнен.</t>
  </si>
  <si>
    <t>План 2024  первонач.</t>
  </si>
  <si>
    <t>Прочие неналоговые доходы</t>
  </si>
  <si>
    <t>План 2024 первонач.</t>
  </si>
  <si>
    <t>План 2024  уточн.</t>
  </si>
  <si>
    <t>Факт 2024 г.</t>
  </si>
  <si>
    <t>Доходы от исп-ния имущества, всего, в т.ч.: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</si>
</sst>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8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color indexed="55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i/>
      <sz val="10"/>
      <color indexed="55"/>
      <name val="Times New Roman"/>
      <family val="1"/>
      <charset val="204"/>
    </font>
    <font>
      <b/>
      <i/>
      <sz val="10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9"/>
      <color indexed="55"/>
      <name val="Times New Roman"/>
      <family val="1"/>
      <charset val="204"/>
    </font>
    <font>
      <b/>
      <sz val="9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1" fillId="0" borderId="0" xfId="1" applyAlignment="1">
      <alignment vertical="top"/>
    </xf>
    <xf numFmtId="0" fontId="1" fillId="0" borderId="0" xfId="1" applyAlignment="1">
      <alignment wrapText="1"/>
    </xf>
    <xf numFmtId="164" fontId="2" fillId="0" borderId="0" xfId="1" applyNumberFormat="1" applyFont="1" applyAlignment="1">
      <alignment horizontal="right" wrapText="1"/>
    </xf>
    <xf numFmtId="164" fontId="1" fillId="0" borderId="0" xfId="1" applyNumberFormat="1" applyAlignment="1">
      <alignment horizontal="right"/>
    </xf>
    <xf numFmtId="164" fontId="2" fillId="0" borderId="0" xfId="1" applyNumberFormat="1" applyFont="1" applyAlignment="1">
      <alignment horizontal="right"/>
    </xf>
    <xf numFmtId="0" fontId="1" fillId="0" borderId="0" xfId="1"/>
    <xf numFmtId="0" fontId="1" fillId="0" borderId="0" xfId="1" applyBorder="1" applyAlignment="1">
      <alignment horizontal="center" vertical="top"/>
    </xf>
    <xf numFmtId="0" fontId="1" fillId="0" borderId="0" xfId="1" applyAlignment="1">
      <alignment horizontal="center" vertical="top"/>
    </xf>
    <xf numFmtId="0" fontId="1" fillId="0" borderId="0" xfId="1" applyAlignment="1">
      <alignment horizontal="center"/>
    </xf>
    <xf numFmtId="0" fontId="1" fillId="0" borderId="0" xfId="1" applyBorder="1" applyAlignment="1">
      <alignment vertical="top"/>
    </xf>
    <xf numFmtId="0" fontId="3" fillId="0" borderId="0" xfId="1" applyFont="1" applyBorder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/>
    <xf numFmtId="0" fontId="4" fillId="0" borderId="0" xfId="1" applyFont="1" applyBorder="1" applyAlignment="1">
      <alignment vertical="top"/>
    </xf>
    <xf numFmtId="0" fontId="4" fillId="0" borderId="0" xfId="1" applyFont="1" applyAlignment="1">
      <alignment vertical="top"/>
    </xf>
    <xf numFmtId="0" fontId="4" fillId="0" borderId="0" xfId="1" applyFont="1"/>
    <xf numFmtId="0" fontId="2" fillId="0" borderId="0" xfId="1" applyFont="1" applyBorder="1" applyAlignment="1">
      <alignment vertical="top"/>
    </xf>
    <xf numFmtId="0" fontId="3" fillId="2" borderId="1" xfId="1" applyFont="1" applyFill="1" applyBorder="1" applyAlignment="1">
      <alignment horizontal="right"/>
    </xf>
    <xf numFmtId="0" fontId="2" fillId="0" borderId="0" xfId="1" applyFont="1"/>
    <xf numFmtId="0" fontId="1" fillId="0" borderId="0" xfId="1" applyFont="1" applyAlignment="1">
      <alignment vertical="top"/>
    </xf>
    <xf numFmtId="0" fontId="1" fillId="0" borderId="0" xfId="1" applyFont="1"/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/>
    </xf>
    <xf numFmtId="0" fontId="5" fillId="0" borderId="0" xfId="1" applyFont="1" applyAlignment="1">
      <alignment vertical="top"/>
    </xf>
    <xf numFmtId="0" fontId="5" fillId="0" borderId="0" xfId="1" applyFont="1"/>
    <xf numFmtId="0" fontId="7" fillId="0" borderId="0" xfId="1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164" fontId="7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7" fillId="0" borderId="2" xfId="1" applyNumberFormat="1" applyFont="1" applyFill="1" applyBorder="1" applyAlignment="1">
      <alignment horizontal="center" vertical="top" wrapText="1"/>
    </xf>
    <xf numFmtId="164" fontId="11" fillId="0" borderId="1" xfId="1" applyNumberFormat="1" applyFont="1" applyFill="1" applyBorder="1" applyAlignment="1">
      <alignment horizontal="center" vertical="top" wrapText="1"/>
    </xf>
    <xf numFmtId="0" fontId="12" fillId="0" borderId="1" xfId="1" applyFont="1" applyBorder="1" applyAlignment="1">
      <alignment wrapText="1"/>
    </xf>
    <xf numFmtId="164" fontId="12" fillId="0" borderId="1" xfId="1" applyNumberFormat="1" applyFont="1" applyFill="1" applyBorder="1" applyAlignment="1">
      <alignment horizontal="center" wrapText="1"/>
    </xf>
    <xf numFmtId="164" fontId="13" fillId="0" borderId="1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0" fontId="15" fillId="0" borderId="1" xfId="1" applyFont="1" applyBorder="1" applyAlignment="1">
      <alignment wrapText="1"/>
    </xf>
    <xf numFmtId="164" fontId="15" fillId="0" borderId="1" xfId="1" applyNumberFormat="1" applyFont="1" applyFill="1" applyBorder="1" applyAlignment="1">
      <alignment horizontal="center"/>
    </xf>
    <xf numFmtId="3" fontId="14" fillId="0" borderId="1" xfId="1" applyNumberFormat="1" applyFont="1" applyFill="1" applyBorder="1" applyAlignment="1">
      <alignment horizontal="center"/>
    </xf>
    <xf numFmtId="3" fontId="15" fillId="0" borderId="1" xfId="1" applyNumberFormat="1" applyFont="1" applyFill="1" applyBorder="1" applyAlignment="1">
      <alignment horizontal="center"/>
    </xf>
    <xf numFmtId="164" fontId="15" fillId="0" borderId="1" xfId="1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left" vertical="center" wrapText="1"/>
    </xf>
    <xf numFmtId="164" fontId="14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wrapText="1"/>
    </xf>
    <xf numFmtId="164" fontId="10" fillId="0" borderId="0" xfId="1" applyNumberFormat="1" applyFont="1" applyFill="1" applyBorder="1" applyAlignment="1">
      <alignment horizontal="center" wrapText="1"/>
    </xf>
    <xf numFmtId="164" fontId="11" fillId="0" borderId="0" xfId="1" applyNumberFormat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wrapText="1"/>
    </xf>
    <xf numFmtId="164" fontId="13" fillId="0" borderId="1" xfId="1" applyNumberFormat="1" applyFont="1" applyBorder="1" applyAlignment="1">
      <alignment horizontal="right" wrapText="1"/>
    </xf>
    <xf numFmtId="164" fontId="15" fillId="0" borderId="1" xfId="1" applyNumberFormat="1" applyFont="1" applyBorder="1" applyAlignment="1">
      <alignment horizontal="right"/>
    </xf>
    <xf numFmtId="164" fontId="13" fillId="0" borderId="1" xfId="1" applyNumberFormat="1" applyFont="1" applyBorder="1" applyAlignment="1">
      <alignment horizontal="right"/>
    </xf>
    <xf numFmtId="0" fontId="15" fillId="0" borderId="1" xfId="1" applyFont="1" applyBorder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right" vertical="center" wrapText="1"/>
    </xf>
    <xf numFmtId="0" fontId="14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center" vertical="center"/>
    </xf>
    <xf numFmtId="164" fontId="3" fillId="0" borderId="0" xfId="1" applyNumberFormat="1" applyFont="1"/>
    <xf numFmtId="164" fontId="5" fillId="0" borderId="0" xfId="1" applyNumberFormat="1" applyFont="1"/>
    <xf numFmtId="164" fontId="4" fillId="0" borderId="0" xfId="1" applyNumberFormat="1" applyFont="1"/>
    <xf numFmtId="164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/>
    </xf>
    <xf numFmtId="0" fontId="15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164" fontId="3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64" fontId="1" fillId="0" borderId="0" xfId="1" applyNumberFormat="1"/>
    <xf numFmtId="164" fontId="4" fillId="0" borderId="0" xfId="1" applyNumberFormat="1" applyFont="1" applyAlignment="1">
      <alignment vertical="center"/>
    </xf>
    <xf numFmtId="164" fontId="1" fillId="0" borderId="0" xfId="1" applyNumberFormat="1" applyFont="1"/>
    <xf numFmtId="165" fontId="15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/>
    </xf>
    <xf numFmtId="0" fontId="16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vertical="center" wrapText="1"/>
    </xf>
    <xf numFmtId="0" fontId="3" fillId="2" borderId="0" xfId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3" fontId="7" fillId="0" borderId="1" xfId="1" applyNumberFormat="1" applyFont="1" applyFill="1" applyBorder="1" applyAlignment="1">
      <alignment horizontal="center"/>
    </xf>
    <xf numFmtId="3" fontId="11" fillId="0" borderId="1" xfId="1" applyNumberFormat="1" applyFont="1" applyFill="1" applyBorder="1" applyAlignment="1">
      <alignment horizontal="center"/>
    </xf>
    <xf numFmtId="3" fontId="12" fillId="0" borderId="1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3" fontId="12" fillId="0" borderId="1" xfId="1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4" fontId="11" fillId="0" borderId="1" xfId="1" applyNumberFormat="1" applyFont="1" applyFill="1" applyBorder="1" applyAlignment="1">
      <alignment horizontal="center"/>
    </xf>
    <xf numFmtId="4" fontId="11" fillId="0" borderId="1" xfId="1" applyNumberFormat="1" applyFont="1" applyFill="1" applyBorder="1" applyAlignment="1">
      <alignment horizontal="center" vertical="center"/>
    </xf>
    <xf numFmtId="4" fontId="5" fillId="0" borderId="0" xfId="1" applyNumberFormat="1" applyFont="1"/>
    <xf numFmtId="0" fontId="8" fillId="0" borderId="5" xfId="1" applyFont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top" wrapText="1"/>
    </xf>
    <xf numFmtId="3" fontId="8" fillId="0" borderId="1" xfId="1" applyNumberFormat="1" applyFont="1" applyFill="1" applyBorder="1" applyAlignment="1">
      <alignment horizontal="center" vertical="top" wrapText="1"/>
    </xf>
    <xf numFmtId="3" fontId="8" fillId="0" borderId="2" xfId="1" applyNumberFormat="1" applyFont="1" applyFill="1" applyBorder="1" applyAlignment="1">
      <alignment horizontal="center" vertical="top" wrapText="1"/>
    </xf>
    <xf numFmtId="0" fontId="17" fillId="0" borderId="1" xfId="1" applyFont="1" applyBorder="1" applyAlignment="1">
      <alignment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>
      <alignment horizontal="center"/>
    </xf>
    <xf numFmtId="4" fontId="3" fillId="0" borderId="0" xfId="1" applyNumberFormat="1" applyFont="1"/>
    <xf numFmtId="0" fontId="16" fillId="0" borderId="1" xfId="1" applyFont="1" applyBorder="1" applyAlignment="1">
      <alignment wrapText="1"/>
    </xf>
    <xf numFmtId="164" fontId="8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top" wrapText="1"/>
    </xf>
    <xf numFmtId="164" fontId="8" fillId="0" borderId="5" xfId="1" applyNumberFormat="1" applyFont="1" applyFill="1" applyBorder="1" applyAlignment="1">
      <alignment horizontal="center" vertical="top" wrapText="1"/>
    </xf>
    <xf numFmtId="164" fontId="8" fillId="0" borderId="1" xfId="1" applyNumberFormat="1" applyFont="1" applyFill="1" applyBorder="1" applyAlignment="1">
      <alignment horizontal="center" vertical="top" wrapText="1"/>
    </xf>
  </cellXfs>
  <cellStyles count="2">
    <cellStyle name="TableStyleLight1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tabSelected="1" topLeftCell="B1" zoomScalePageLayoutView="60" workbookViewId="0">
      <selection activeCell="B2" sqref="B2:L2"/>
    </sheetView>
  </sheetViews>
  <sheetFormatPr defaultColWidth="8.7109375" defaultRowHeight="12.75" x14ac:dyDescent="0.2"/>
  <cols>
    <col min="1" max="1" width="2.85546875" style="1" customWidth="1"/>
    <col min="2" max="2" width="32.5703125" style="2" customWidth="1"/>
    <col min="3" max="3" width="9.42578125" style="4" customWidth="1"/>
    <col min="4" max="4" width="5.85546875" style="3" customWidth="1"/>
    <col min="5" max="5" width="10.5703125" style="4" customWidth="1"/>
    <col min="6" max="6" width="7" style="5" customWidth="1"/>
    <col min="7" max="7" width="9.7109375" style="4" customWidth="1"/>
    <col min="8" max="8" width="7.42578125" style="5" customWidth="1"/>
    <col min="9" max="9" width="9.42578125" style="4" customWidth="1"/>
    <col min="10" max="10" width="7.140625" style="5" customWidth="1"/>
    <col min="11" max="11" width="9.7109375" style="4" customWidth="1"/>
    <col min="12" max="12" width="9.42578125" style="5" customWidth="1"/>
    <col min="13" max="13" width="0" style="6" hidden="1" customWidth="1"/>
    <col min="14" max="16384" width="8.7109375" style="6"/>
  </cols>
  <sheetData>
    <row r="1" spans="1:16" x14ac:dyDescent="0.2">
      <c r="B1" s="26"/>
      <c r="C1" s="28"/>
      <c r="D1" s="27"/>
      <c r="E1" s="28"/>
      <c r="F1" s="29"/>
      <c r="G1" s="28"/>
      <c r="H1" s="29"/>
      <c r="I1" s="28"/>
      <c r="J1" s="114" t="s">
        <v>33</v>
      </c>
      <c r="K1" s="114"/>
      <c r="L1" s="114"/>
    </row>
    <row r="2" spans="1:16" ht="15.75" customHeight="1" x14ac:dyDescent="0.2">
      <c r="B2" s="115" t="s">
        <v>65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6" ht="12.75" customHeight="1" x14ac:dyDescent="0.2">
      <c r="B3" s="26"/>
      <c r="C3" s="28"/>
      <c r="D3" s="27"/>
      <c r="E3" s="28"/>
      <c r="F3" s="29"/>
      <c r="G3" s="28"/>
      <c r="H3" s="29"/>
      <c r="I3" s="28"/>
      <c r="J3" s="29"/>
      <c r="K3" s="28"/>
      <c r="L3" s="29" t="s">
        <v>0</v>
      </c>
    </row>
    <row r="4" spans="1:16" ht="12.75" customHeight="1" x14ac:dyDescent="0.2">
      <c r="B4" s="120" t="s">
        <v>29</v>
      </c>
      <c r="C4" s="118" t="s">
        <v>66</v>
      </c>
      <c r="D4" s="124" t="s">
        <v>1</v>
      </c>
      <c r="E4" s="118" t="s">
        <v>68</v>
      </c>
      <c r="F4" s="126" t="s">
        <v>1</v>
      </c>
      <c r="G4" s="118" t="s">
        <v>67</v>
      </c>
      <c r="H4" s="126" t="s">
        <v>1</v>
      </c>
      <c r="I4" s="118" t="s">
        <v>66</v>
      </c>
      <c r="J4" s="126" t="s">
        <v>1</v>
      </c>
      <c r="K4" s="116" t="s">
        <v>45</v>
      </c>
      <c r="L4" s="117"/>
    </row>
    <row r="5" spans="1:16" s="9" customFormat="1" ht="12.75" customHeight="1" x14ac:dyDescent="0.2">
      <c r="A5" s="7"/>
      <c r="B5" s="121"/>
      <c r="C5" s="119"/>
      <c r="D5" s="125"/>
      <c r="E5" s="119"/>
      <c r="F5" s="126"/>
      <c r="G5" s="119"/>
      <c r="H5" s="126"/>
      <c r="I5" s="119"/>
      <c r="J5" s="126"/>
      <c r="K5" s="30" t="s">
        <v>0</v>
      </c>
      <c r="L5" s="31" t="s">
        <v>3</v>
      </c>
      <c r="M5" s="8"/>
    </row>
    <row r="6" spans="1:16" s="9" customFormat="1" ht="12.75" customHeight="1" x14ac:dyDescent="0.2">
      <c r="A6" s="7"/>
      <c r="B6" s="103">
        <v>1</v>
      </c>
      <c r="C6" s="104">
        <v>2</v>
      </c>
      <c r="D6" s="105">
        <v>3</v>
      </c>
      <c r="E6" s="104">
        <v>4</v>
      </c>
      <c r="F6" s="106">
        <v>5</v>
      </c>
      <c r="G6" s="104">
        <v>6</v>
      </c>
      <c r="H6" s="106">
        <v>7</v>
      </c>
      <c r="I6" s="104">
        <v>8</v>
      </c>
      <c r="J6" s="106">
        <v>9</v>
      </c>
      <c r="K6" s="107">
        <v>10</v>
      </c>
      <c r="L6" s="106">
        <v>11</v>
      </c>
      <c r="M6" s="8"/>
    </row>
    <row r="7" spans="1:16" s="13" customFormat="1" ht="12.75" customHeight="1" x14ac:dyDescent="0.2">
      <c r="A7" s="11"/>
      <c r="B7" s="65" t="s">
        <v>34</v>
      </c>
      <c r="C7" s="47">
        <f>C8+C15+C21</f>
        <v>9784.612079999999</v>
      </c>
      <c r="D7" s="56"/>
      <c r="E7" s="109">
        <f>E8+E15+E21</f>
        <v>10094.199999999999</v>
      </c>
      <c r="F7" s="56"/>
      <c r="G7" s="47">
        <f>G8+G15+G21</f>
        <v>11645.507999999998</v>
      </c>
      <c r="H7" s="56"/>
      <c r="I7" s="47">
        <f>I8+I15+I21</f>
        <v>11639.452529999999</v>
      </c>
      <c r="J7" s="56"/>
      <c r="K7" s="45">
        <f>I7-G7</f>
        <v>-6.0554699999993318</v>
      </c>
      <c r="L7" s="44">
        <f>I7/G7*100</f>
        <v>99.948001667252299</v>
      </c>
      <c r="M7" s="12"/>
      <c r="N7" s="69"/>
      <c r="O7" s="69"/>
    </row>
    <row r="8" spans="1:16" s="16" customFormat="1" ht="12.75" customHeight="1" x14ac:dyDescent="0.2">
      <c r="A8" s="14"/>
      <c r="B8" s="64" t="s">
        <v>35</v>
      </c>
      <c r="C8" s="44">
        <f>C9+C10+C11+C12+C13+C14</f>
        <v>7429.2758899999999</v>
      </c>
      <c r="D8" s="44">
        <f>C8/C7*100</f>
        <v>75.928159739573459</v>
      </c>
      <c r="E8" s="73">
        <f>E9+E10+E11+E12+E13+E14</f>
        <v>8140.3</v>
      </c>
      <c r="F8" s="44">
        <f>E8/E7*100</f>
        <v>80.64333973965249</v>
      </c>
      <c r="G8" s="44">
        <f>G9+G10+G11+G12+G13+G14</f>
        <v>7320.5999999999995</v>
      </c>
      <c r="H8" s="44">
        <f>G8/G7*100</f>
        <v>62.862006535051975</v>
      </c>
      <c r="I8" s="44">
        <f>I9+I10+I11+I12+I13+I14</f>
        <v>7503.5142399999995</v>
      </c>
      <c r="J8" s="44">
        <f>I8/I7*100</f>
        <v>64.466212827967098</v>
      </c>
      <c r="K8" s="44">
        <f t="shared" ref="K8:K26" si="0">I8-G8</f>
        <v>182.91424000000006</v>
      </c>
      <c r="L8" s="44">
        <f t="shared" ref="L8:L26" si="1">I8/G8*100</f>
        <v>102.49862361008661</v>
      </c>
      <c r="M8" s="15"/>
      <c r="N8" s="69"/>
      <c r="O8" s="69"/>
    </row>
    <row r="9" spans="1:16" s="19" customFormat="1" ht="12.75" customHeight="1" x14ac:dyDescent="0.2">
      <c r="A9" s="17"/>
      <c r="B9" s="61" t="s">
        <v>4</v>
      </c>
      <c r="C9" s="40">
        <v>753.79360999999994</v>
      </c>
      <c r="D9" s="40">
        <f>C9/C7*100</f>
        <v>7.7038681128787267</v>
      </c>
      <c r="E9" s="72">
        <v>736.6</v>
      </c>
      <c r="F9" s="40">
        <f>E9/E7*100</f>
        <v>7.2972598125656329</v>
      </c>
      <c r="G9" s="40">
        <v>1088</v>
      </c>
      <c r="H9" s="40">
        <f>G9/G7*100</f>
        <v>9.3426581304997622</v>
      </c>
      <c r="I9" s="40">
        <v>1119.8065999999999</v>
      </c>
      <c r="J9" s="40">
        <f>I9/I7*100</f>
        <v>9.6207841143195072</v>
      </c>
      <c r="K9" s="40">
        <f t="shared" si="0"/>
        <v>31.806599999999889</v>
      </c>
      <c r="L9" s="40">
        <f t="shared" si="1"/>
        <v>102.92340073529411</v>
      </c>
      <c r="M9" s="18"/>
      <c r="N9" s="69"/>
      <c r="O9" s="69"/>
    </row>
    <row r="10" spans="1:16" s="19" customFormat="1" ht="12.75" customHeight="1" x14ac:dyDescent="0.2">
      <c r="A10" s="17"/>
      <c r="B10" s="61" t="s">
        <v>24</v>
      </c>
      <c r="C10" s="40">
        <v>973.02</v>
      </c>
      <c r="D10" s="40">
        <f>C10/C7*100</f>
        <v>9.9443901510298822</v>
      </c>
      <c r="E10" s="72">
        <v>975.2</v>
      </c>
      <c r="F10" s="40">
        <f>E10/E7*100</f>
        <v>9.660993441778448</v>
      </c>
      <c r="G10" s="40">
        <v>975.2</v>
      </c>
      <c r="H10" s="40">
        <f>G10/G7*100</f>
        <v>8.3740443096170658</v>
      </c>
      <c r="I10" s="40">
        <v>1044.9774399999999</v>
      </c>
      <c r="J10" s="41">
        <f>I10/I7*100</f>
        <v>8.9778916775220523</v>
      </c>
      <c r="K10" s="40">
        <f t="shared" si="0"/>
        <v>69.777439999999842</v>
      </c>
      <c r="L10" s="40">
        <f t="shared" si="1"/>
        <v>107.15519278096799</v>
      </c>
      <c r="M10" s="18"/>
      <c r="N10" s="69"/>
      <c r="O10" s="69"/>
    </row>
    <row r="11" spans="1:16" s="19" customFormat="1" ht="12.75" customHeight="1" x14ac:dyDescent="0.2">
      <c r="A11" s="17"/>
      <c r="B11" s="61" t="s">
        <v>28</v>
      </c>
      <c r="C11" s="40">
        <v>-26.998999999999999</v>
      </c>
      <c r="D11" s="40">
        <f>C11/C7*100</f>
        <v>-0.2759332692931859</v>
      </c>
      <c r="E11" s="88">
        <v>0</v>
      </c>
      <c r="F11" s="41">
        <f>E11/E7*100</f>
        <v>0</v>
      </c>
      <c r="G11" s="41">
        <v>0</v>
      </c>
      <c r="H11" s="41">
        <f>G11/G7*100</f>
        <v>0</v>
      </c>
      <c r="I11" s="41">
        <v>0</v>
      </c>
      <c r="J11" s="41">
        <f>I11/I7*100</f>
        <v>0</v>
      </c>
      <c r="K11" s="41">
        <f t="shared" si="0"/>
        <v>0</v>
      </c>
      <c r="L11" s="41">
        <v>0</v>
      </c>
      <c r="M11" s="18"/>
      <c r="N11" s="69"/>
      <c r="O11" s="69"/>
    </row>
    <row r="12" spans="1:16" ht="12.75" customHeight="1" x14ac:dyDescent="0.2">
      <c r="A12" s="10"/>
      <c r="B12" s="61" t="s">
        <v>5</v>
      </c>
      <c r="C12" s="40">
        <v>561.13652999999999</v>
      </c>
      <c r="D12" s="40">
        <f>C12/C7*100</f>
        <v>5.7348878566885402</v>
      </c>
      <c r="E12" s="88">
        <v>526</v>
      </c>
      <c r="F12" s="40">
        <f>E12/E7*100</f>
        <v>5.2109131976778755</v>
      </c>
      <c r="G12" s="41">
        <v>636</v>
      </c>
      <c r="H12" s="40">
        <f>G12/G7*100</f>
        <v>5.4613332454024341</v>
      </c>
      <c r="I12" s="40">
        <v>674.19867999999997</v>
      </c>
      <c r="J12" s="40">
        <f>I12/I7*100</f>
        <v>5.7923573145926994</v>
      </c>
      <c r="K12" s="40">
        <f t="shared" si="0"/>
        <v>38.198679999999968</v>
      </c>
      <c r="L12" s="41">
        <f t="shared" si="1"/>
        <v>106.00608176100627</v>
      </c>
      <c r="M12" s="18"/>
      <c r="N12" s="69"/>
      <c r="O12" s="69"/>
    </row>
    <row r="13" spans="1:16" ht="12.75" customHeight="1" x14ac:dyDescent="0.2">
      <c r="A13" s="10"/>
      <c r="B13" s="61" t="s">
        <v>6</v>
      </c>
      <c r="C13" s="40">
        <v>5165.4247500000001</v>
      </c>
      <c r="D13" s="40">
        <f>C13/C7*100</f>
        <v>52.79130851347967</v>
      </c>
      <c r="E13" s="88">
        <v>5900</v>
      </c>
      <c r="F13" s="40">
        <f>E13/E7*100</f>
        <v>58.449406589922937</v>
      </c>
      <c r="G13" s="40">
        <v>4620.7</v>
      </c>
      <c r="H13" s="40">
        <f>G13/G7*100</f>
        <v>39.677959948161991</v>
      </c>
      <c r="I13" s="40">
        <v>4663.8315199999997</v>
      </c>
      <c r="J13" s="40">
        <f>I13/I7*100</f>
        <v>40.069165692967523</v>
      </c>
      <c r="K13" s="40">
        <f t="shared" si="0"/>
        <v>43.131519999999909</v>
      </c>
      <c r="L13" s="40">
        <f t="shared" si="1"/>
        <v>100.93344125348973</v>
      </c>
      <c r="M13" s="18"/>
      <c r="N13" s="69"/>
      <c r="O13" s="69"/>
    </row>
    <row r="14" spans="1:16" ht="12.75" customHeight="1" x14ac:dyDescent="0.2">
      <c r="A14" s="10"/>
      <c r="B14" s="61" t="s">
        <v>7</v>
      </c>
      <c r="C14" s="40">
        <v>2.9</v>
      </c>
      <c r="D14" s="68">
        <f>C14/C7*100</f>
        <v>2.9638374789815892E-2</v>
      </c>
      <c r="E14" s="72">
        <v>2.5</v>
      </c>
      <c r="F14" s="68">
        <f>E14/E7*100</f>
        <v>2.4766697707594463E-2</v>
      </c>
      <c r="G14" s="40">
        <v>0.7</v>
      </c>
      <c r="H14" s="68">
        <f>G14/G7*100</f>
        <v>6.010901370725949E-3</v>
      </c>
      <c r="I14" s="40">
        <v>0.7</v>
      </c>
      <c r="J14" s="68">
        <f>I14/I7*100</f>
        <v>6.0140285653108808E-3</v>
      </c>
      <c r="K14" s="41">
        <f t="shared" si="0"/>
        <v>0</v>
      </c>
      <c r="L14" s="41">
        <f t="shared" si="1"/>
        <v>100</v>
      </c>
      <c r="M14" s="18"/>
      <c r="N14" s="69"/>
      <c r="O14" s="69"/>
    </row>
    <row r="15" spans="1:16" s="16" customFormat="1" ht="12.75" customHeight="1" x14ac:dyDescent="0.2">
      <c r="A15" s="14"/>
      <c r="B15" s="64" t="s">
        <v>36</v>
      </c>
      <c r="C15" s="66">
        <f>C16+C19+C20</f>
        <v>529.34890999999993</v>
      </c>
      <c r="D15" s="44">
        <f>C15/C7*100</f>
        <v>5.4100142721243163</v>
      </c>
      <c r="E15" s="67">
        <f>E16+E19+E20</f>
        <v>340</v>
      </c>
      <c r="F15" s="44">
        <f>E15/E7*100</f>
        <v>3.3682708882328471</v>
      </c>
      <c r="G15" s="66">
        <f>G16+G19+G20</f>
        <v>449.7</v>
      </c>
      <c r="H15" s="44">
        <f>G15/G7*100</f>
        <v>3.8615747805935139</v>
      </c>
      <c r="I15" s="66">
        <f>I16+I19+I20</f>
        <v>453.25590999999997</v>
      </c>
      <c r="J15" s="44">
        <f>I15/I7*100</f>
        <v>3.8941342716228253</v>
      </c>
      <c r="K15" s="44">
        <f t="shared" si="0"/>
        <v>3.555909999999983</v>
      </c>
      <c r="L15" s="44">
        <f t="shared" si="1"/>
        <v>100.79072937513898</v>
      </c>
      <c r="M15" s="15"/>
      <c r="N15" s="69"/>
      <c r="O15" s="69"/>
      <c r="P15" s="71"/>
    </row>
    <row r="16" spans="1:16" ht="12.75" customHeight="1" x14ac:dyDescent="0.2">
      <c r="A16" s="10"/>
      <c r="B16" s="85" t="s">
        <v>73</v>
      </c>
      <c r="C16" s="41">
        <f>C17+C18</f>
        <v>330.97505999999998</v>
      </c>
      <c r="D16" s="40">
        <f>C16/C7*100</f>
        <v>3.3826078877109658</v>
      </c>
      <c r="E16" s="41">
        <f>E17+E18</f>
        <v>240</v>
      </c>
      <c r="F16" s="40">
        <f>E16/E7*100</f>
        <v>2.3776029799290681</v>
      </c>
      <c r="G16" s="41">
        <f>G17+G18</f>
        <v>202.7</v>
      </c>
      <c r="H16" s="40">
        <f>G16/G7*100</f>
        <v>1.7405852969230713</v>
      </c>
      <c r="I16" s="40">
        <f>I17+I18</f>
        <v>206.30324999999999</v>
      </c>
      <c r="J16" s="40">
        <f>I16/I7*100</f>
        <v>1.7724480551663886</v>
      </c>
      <c r="K16" s="40">
        <f t="shared" si="0"/>
        <v>3.6032500000000027</v>
      </c>
      <c r="L16" s="40">
        <f t="shared" si="1"/>
        <v>101.77762703502712</v>
      </c>
      <c r="M16" s="1"/>
      <c r="N16" s="69"/>
      <c r="O16" s="69"/>
    </row>
    <row r="17" spans="1:16" ht="12.75" customHeight="1" x14ac:dyDescent="0.2">
      <c r="A17" s="10"/>
      <c r="B17" s="63" t="s">
        <v>58</v>
      </c>
      <c r="C17" s="40">
        <v>33.88879</v>
      </c>
      <c r="D17" s="40">
        <f>C17/C7*100</f>
        <v>0.34634781351495342</v>
      </c>
      <c r="E17" s="41">
        <v>40</v>
      </c>
      <c r="F17" s="40">
        <f>E17/E7*100</f>
        <v>0.39626716332151141</v>
      </c>
      <c r="G17" s="40">
        <v>2.7</v>
      </c>
      <c r="H17" s="68">
        <f>G17/G7*100</f>
        <v>2.3184905287085805E-2</v>
      </c>
      <c r="I17" s="40">
        <v>2.7470599999999998</v>
      </c>
      <c r="J17" s="68">
        <f>I17/I7*100</f>
        <v>2.3601281872318441E-2</v>
      </c>
      <c r="K17" s="68">
        <f t="shared" si="0"/>
        <v>4.7059999999999658E-2</v>
      </c>
      <c r="L17" s="40">
        <f t="shared" si="1"/>
        <v>101.74296296296295</v>
      </c>
      <c r="M17" s="18"/>
      <c r="N17" s="69"/>
      <c r="O17" s="69"/>
    </row>
    <row r="18" spans="1:16" ht="12.75" customHeight="1" x14ac:dyDescent="0.2">
      <c r="A18" s="10"/>
      <c r="B18" s="63" t="s">
        <v>46</v>
      </c>
      <c r="C18" s="40">
        <v>297.08627000000001</v>
      </c>
      <c r="D18" s="41">
        <f>C18/C7*100</f>
        <v>3.0362600741960128</v>
      </c>
      <c r="E18" s="41">
        <v>200</v>
      </c>
      <c r="F18" s="41">
        <f>E18/E7*100</f>
        <v>1.981335816607557</v>
      </c>
      <c r="G18" s="41">
        <v>200</v>
      </c>
      <c r="H18" s="40">
        <f>G18/G7*100</f>
        <v>1.7174003916359857</v>
      </c>
      <c r="I18" s="40">
        <v>203.55618999999999</v>
      </c>
      <c r="J18" s="40">
        <f>I18/I7*100</f>
        <v>1.7488467732940702</v>
      </c>
      <c r="K18" s="40">
        <f t="shared" si="0"/>
        <v>3.5561899999999866</v>
      </c>
      <c r="L18" s="40">
        <f t="shared" si="1"/>
        <v>101.77809499999999</v>
      </c>
      <c r="M18" s="18"/>
      <c r="N18" s="69"/>
      <c r="O18" s="69"/>
    </row>
    <row r="19" spans="1:16" ht="12.75" customHeight="1" x14ac:dyDescent="0.2">
      <c r="A19" s="10"/>
      <c r="B19" s="85" t="s">
        <v>39</v>
      </c>
      <c r="C19" s="40">
        <v>36.715049999999998</v>
      </c>
      <c r="D19" s="40">
        <f>C19/C7*100</f>
        <v>0.3752325559747689</v>
      </c>
      <c r="E19" s="41">
        <v>100</v>
      </c>
      <c r="F19" s="41">
        <f>E19/E7*100</f>
        <v>0.99066790830377849</v>
      </c>
      <c r="G19" s="41">
        <v>37</v>
      </c>
      <c r="H19" s="40">
        <f>G19/G7*100</f>
        <v>0.31771907245265729</v>
      </c>
      <c r="I19" s="40">
        <v>36.952660000000002</v>
      </c>
      <c r="J19" s="40">
        <f>I19/I7*100</f>
        <v>0.31747764686317259</v>
      </c>
      <c r="K19" s="68">
        <f t="shared" si="0"/>
        <v>-4.7339999999998383E-2</v>
      </c>
      <c r="L19" s="40">
        <f t="shared" si="1"/>
        <v>99.872054054054061</v>
      </c>
      <c r="M19" s="18"/>
      <c r="N19" s="69"/>
      <c r="O19" s="69"/>
    </row>
    <row r="20" spans="1:16" ht="12.75" customHeight="1" x14ac:dyDescent="0.2">
      <c r="A20" s="10"/>
      <c r="B20" s="86" t="s">
        <v>69</v>
      </c>
      <c r="C20" s="40">
        <f>153+8.6588</f>
        <v>161.65879999999999</v>
      </c>
      <c r="D20" s="40">
        <f>C20/C7*100</f>
        <v>1.6521738284385825</v>
      </c>
      <c r="E20" s="41">
        <v>0</v>
      </c>
      <c r="F20" s="41">
        <f>E20/E7*100</f>
        <v>0</v>
      </c>
      <c r="G20" s="40">
        <v>210</v>
      </c>
      <c r="H20" s="40">
        <f>G20/G7*100</f>
        <v>1.8032704112177851</v>
      </c>
      <c r="I20" s="40">
        <v>210</v>
      </c>
      <c r="J20" s="40">
        <f>I20/I7*100</f>
        <v>1.8042085695932644</v>
      </c>
      <c r="K20" s="41">
        <f t="shared" si="0"/>
        <v>0</v>
      </c>
      <c r="L20" s="41">
        <f t="shared" si="1"/>
        <v>100</v>
      </c>
      <c r="M20" s="18"/>
      <c r="N20" s="69"/>
      <c r="O20" s="69"/>
      <c r="P20" s="80"/>
    </row>
    <row r="21" spans="1:16" s="79" customFormat="1" ht="12.75" customHeight="1" x14ac:dyDescent="0.2">
      <c r="A21" s="76"/>
      <c r="B21" s="43" t="s">
        <v>47</v>
      </c>
      <c r="C21" s="44">
        <f>C23+C24+C25</f>
        <v>1825.9872800000003</v>
      </c>
      <c r="D21" s="44">
        <f>C21/C7*100</f>
        <v>18.66182598830224</v>
      </c>
      <c r="E21" s="44">
        <f>E23+E24+E25</f>
        <v>1613.9</v>
      </c>
      <c r="F21" s="42">
        <f>E21/E7*100</f>
        <v>15.988389372114684</v>
      </c>
      <c r="G21" s="44">
        <f>G22+G23+G24+G25</f>
        <v>3875.2079999999996</v>
      </c>
      <c r="H21" s="44">
        <f>G21/G7*100</f>
        <v>33.276418684354518</v>
      </c>
      <c r="I21" s="44">
        <f>I22+I23+I24+I25</f>
        <v>3682.6823800000002</v>
      </c>
      <c r="J21" s="44">
        <f>I21/I7*100</f>
        <v>31.639652900410091</v>
      </c>
      <c r="K21" s="44">
        <f t="shared" si="0"/>
        <v>-192.52561999999944</v>
      </c>
      <c r="L21" s="42">
        <f t="shared" si="1"/>
        <v>95.031863579967847</v>
      </c>
      <c r="M21" s="77"/>
      <c r="N21" s="69"/>
      <c r="O21" s="69"/>
    </row>
    <row r="22" spans="1:16" s="79" customFormat="1" ht="12.75" customHeight="1" x14ac:dyDescent="0.2">
      <c r="A22" s="76"/>
      <c r="B22" s="62" t="s">
        <v>57</v>
      </c>
      <c r="C22" s="40">
        <v>46.917000000000002</v>
      </c>
      <c r="D22" s="40">
        <f>C22/C21*100</f>
        <v>2.5694045360491224</v>
      </c>
      <c r="E22" s="41">
        <v>0</v>
      </c>
      <c r="F22" s="41">
        <v>0</v>
      </c>
      <c r="G22" s="40">
        <v>28.908000000000001</v>
      </c>
      <c r="H22" s="40">
        <f>G22/G7*100</f>
        <v>0.24823305260706535</v>
      </c>
      <c r="I22" s="40">
        <v>28.908000000000001</v>
      </c>
      <c r="J22" s="40">
        <f>I22/I7*100</f>
        <v>0.24836219680858138</v>
      </c>
      <c r="K22" s="41">
        <f t="shared" si="0"/>
        <v>0</v>
      </c>
      <c r="L22" s="41">
        <f t="shared" si="1"/>
        <v>100</v>
      </c>
      <c r="M22" s="87"/>
      <c r="N22" s="78"/>
      <c r="O22" s="78"/>
    </row>
    <row r="23" spans="1:16" s="79" customFormat="1" ht="12.75" customHeight="1" x14ac:dyDescent="0.2">
      <c r="A23" s="76"/>
      <c r="B23" s="61" t="s">
        <v>37</v>
      </c>
      <c r="C23" s="40">
        <v>685.54028000000005</v>
      </c>
      <c r="D23" s="41">
        <f>C23/C7*100</f>
        <v>7.0063102593639073</v>
      </c>
      <c r="E23" s="40">
        <v>954.5</v>
      </c>
      <c r="F23" s="68">
        <f>E23/E7*100</f>
        <v>9.4559251847595664</v>
      </c>
      <c r="G23" s="40">
        <v>2051.3000000000002</v>
      </c>
      <c r="H23" s="40">
        <f>G23/G7*100</f>
        <v>17.614517116814486</v>
      </c>
      <c r="I23" s="40">
        <v>1858.88078</v>
      </c>
      <c r="J23" s="41">
        <f>I23/I7*100</f>
        <v>15.970517300610531</v>
      </c>
      <c r="K23" s="40">
        <f t="shared" si="0"/>
        <v>-192.41922000000022</v>
      </c>
      <c r="L23" s="40">
        <f t="shared" si="1"/>
        <v>90.619645103105341</v>
      </c>
      <c r="N23" s="78"/>
      <c r="O23" s="78"/>
      <c r="P23" s="81"/>
    </row>
    <row r="24" spans="1:16" s="79" customFormat="1" ht="12.75" customHeight="1" x14ac:dyDescent="0.2">
      <c r="A24" s="76"/>
      <c r="B24" s="61" t="s">
        <v>8</v>
      </c>
      <c r="C24" s="40">
        <v>129.80000000000001</v>
      </c>
      <c r="D24" s="40">
        <f>C24/C7*100</f>
        <v>1.3265727750752081</v>
      </c>
      <c r="E24" s="40">
        <v>156.19999999999999</v>
      </c>
      <c r="F24" s="40">
        <f>E24/E7*100</f>
        <v>1.547423272770502</v>
      </c>
      <c r="G24" s="40">
        <v>156.19999999999999</v>
      </c>
      <c r="H24" s="40">
        <f>G24/G7*100</f>
        <v>1.3412897058677047</v>
      </c>
      <c r="I24" s="40">
        <v>156.19999999999999</v>
      </c>
      <c r="J24" s="40">
        <f>I24/I7*100</f>
        <v>1.341987517002228</v>
      </c>
      <c r="K24" s="41">
        <f t="shared" si="0"/>
        <v>0</v>
      </c>
      <c r="L24" s="41">
        <f t="shared" si="1"/>
        <v>100</v>
      </c>
      <c r="N24" s="78"/>
      <c r="O24" s="78"/>
    </row>
    <row r="25" spans="1:16" s="79" customFormat="1" ht="12.75" customHeight="1" x14ac:dyDescent="0.2">
      <c r="A25" s="76"/>
      <c r="B25" s="61" t="s">
        <v>9</v>
      </c>
      <c r="C25" s="40">
        <v>1010.647</v>
      </c>
      <c r="D25" s="40">
        <f>C25/C7*100</f>
        <v>10.328942953863125</v>
      </c>
      <c r="E25" s="41">
        <v>503.2</v>
      </c>
      <c r="F25" s="41">
        <f>E25/E7*100</f>
        <v>4.9850409145846131</v>
      </c>
      <c r="G25" s="40">
        <v>1638.8</v>
      </c>
      <c r="H25" s="40">
        <f>G25/G7*100</f>
        <v>14.072378809065267</v>
      </c>
      <c r="I25" s="40">
        <v>1638.6936000000001</v>
      </c>
      <c r="J25" s="40">
        <f>I25/I7*100</f>
        <v>14.078785885988749</v>
      </c>
      <c r="K25" s="41">
        <f t="shared" si="0"/>
        <v>-0.10639999999989413</v>
      </c>
      <c r="L25" s="41">
        <f t="shared" si="1"/>
        <v>99.993507444471575</v>
      </c>
      <c r="N25" s="78"/>
      <c r="O25" s="78"/>
    </row>
    <row r="26" spans="1:16" s="13" customFormat="1" ht="12.75" customHeight="1" x14ac:dyDescent="0.2">
      <c r="A26" s="12"/>
      <c r="B26" s="65" t="s">
        <v>25</v>
      </c>
      <c r="C26" s="47">
        <f>C8+C15</f>
        <v>7958.6247999999996</v>
      </c>
      <c r="D26" s="44">
        <f>C26/C7*100</f>
        <v>81.338174011697774</v>
      </c>
      <c r="E26" s="47">
        <f>E8+E15</f>
        <v>8480.2999999999993</v>
      </c>
      <c r="F26" s="44">
        <f>E26/E7*100</f>
        <v>84.011610627885318</v>
      </c>
      <c r="G26" s="47">
        <f>G8+G15</f>
        <v>7770.2999999999993</v>
      </c>
      <c r="H26" s="42">
        <f>G26/G7*100</f>
        <v>66.72358131564549</v>
      </c>
      <c r="I26" s="47">
        <f>I8+I15</f>
        <v>7956.7701499999994</v>
      </c>
      <c r="J26" s="44">
        <f>I26/I7*100</f>
        <v>68.360347099589916</v>
      </c>
      <c r="K26" s="45">
        <f t="shared" si="0"/>
        <v>186.4701500000001</v>
      </c>
      <c r="L26" s="44">
        <f t="shared" si="1"/>
        <v>102.39978057475258</v>
      </c>
      <c r="M26" s="12"/>
      <c r="N26" s="69"/>
      <c r="O26" s="112"/>
    </row>
    <row r="27" spans="1:16" s="13" customFormat="1" ht="12.75" customHeight="1" x14ac:dyDescent="0.25">
      <c r="A27" s="12"/>
      <c r="B27" s="48"/>
      <c r="C27" s="49"/>
      <c r="D27" s="50"/>
      <c r="E27" s="49"/>
      <c r="F27" s="51"/>
      <c r="G27" s="49"/>
      <c r="H27" s="50"/>
      <c r="I27" s="49"/>
      <c r="J27" s="51"/>
      <c r="K27" s="52"/>
      <c r="L27" s="50"/>
      <c r="M27" s="12"/>
    </row>
    <row r="28" spans="1:16" ht="12.75" customHeight="1" x14ac:dyDescent="0.2">
      <c r="B28" s="115" t="s">
        <v>44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"/>
    </row>
    <row r="29" spans="1:16" ht="12.75" customHeight="1" x14ac:dyDescent="0.2">
      <c r="B29" s="26"/>
      <c r="C29" s="28"/>
      <c r="D29" s="27"/>
      <c r="E29" s="28"/>
      <c r="F29" s="29"/>
      <c r="G29" s="28"/>
      <c r="H29" s="29"/>
      <c r="I29" s="28"/>
      <c r="J29" s="29"/>
      <c r="K29" s="28"/>
      <c r="L29" s="29" t="s">
        <v>0</v>
      </c>
      <c r="M29" s="1"/>
    </row>
    <row r="30" spans="1:16" s="23" customFormat="1" ht="12.75" customHeight="1" x14ac:dyDescent="0.2">
      <c r="A30" s="22"/>
      <c r="B30" s="120" t="s">
        <v>29</v>
      </c>
      <c r="C30" s="118" t="s">
        <v>56</v>
      </c>
      <c r="D30" s="122" t="s">
        <v>1</v>
      </c>
      <c r="E30" s="118" t="s">
        <v>70</v>
      </c>
      <c r="F30" s="122" t="s">
        <v>1</v>
      </c>
      <c r="G30" s="118" t="s">
        <v>71</v>
      </c>
      <c r="H30" s="122" t="s">
        <v>1</v>
      </c>
      <c r="I30" s="118" t="s">
        <v>72</v>
      </c>
      <c r="J30" s="122" t="s">
        <v>1</v>
      </c>
      <c r="K30" s="116" t="s">
        <v>45</v>
      </c>
      <c r="L30" s="117"/>
      <c r="M30" s="22"/>
    </row>
    <row r="31" spans="1:16" ht="12.75" customHeight="1" x14ac:dyDescent="0.2">
      <c r="B31" s="121"/>
      <c r="C31" s="119"/>
      <c r="D31" s="123"/>
      <c r="E31" s="119"/>
      <c r="F31" s="123"/>
      <c r="G31" s="119"/>
      <c r="H31" s="123"/>
      <c r="I31" s="119"/>
      <c r="J31" s="123"/>
      <c r="K31" s="53" t="s">
        <v>2</v>
      </c>
      <c r="L31" s="54" t="s">
        <v>3</v>
      </c>
      <c r="M31" s="1"/>
    </row>
    <row r="32" spans="1:16" s="13" customFormat="1" ht="12.75" customHeight="1" x14ac:dyDescent="0.25">
      <c r="A32" s="12"/>
      <c r="B32" s="55" t="s">
        <v>30</v>
      </c>
      <c r="C32" s="89">
        <f>C33+C34+C35+C36</f>
        <v>3123.9410700000003</v>
      </c>
      <c r="D32" s="35">
        <f>C32/C48*100</f>
        <v>31.210167802704408</v>
      </c>
      <c r="E32" s="35">
        <f>E33+E34+E35+E36</f>
        <v>3896.6</v>
      </c>
      <c r="F32" s="38">
        <f>E32/E48*100</f>
        <v>37.130986640239371</v>
      </c>
      <c r="G32" s="89">
        <f>G33+G34+G35+G36</f>
        <v>3882.5229999999997</v>
      </c>
      <c r="H32" s="89">
        <f>G32/G48*100</f>
        <v>32.374942780598261</v>
      </c>
      <c r="I32" s="89">
        <f>I33+I34+I35+I36</f>
        <v>3633.03674</v>
      </c>
      <c r="J32" s="89">
        <f>I32/I48*100</f>
        <v>32.748761236998874</v>
      </c>
      <c r="K32" s="35">
        <f>I32-G32</f>
        <v>-249.48625999999967</v>
      </c>
      <c r="L32" s="35">
        <f>I32/G32*100</f>
        <v>93.574120230582025</v>
      </c>
      <c r="M32" s="12"/>
      <c r="N32" s="69"/>
    </row>
    <row r="33" spans="1:15" s="21" customFormat="1" ht="12.75" customHeight="1" x14ac:dyDescent="0.2">
      <c r="A33" s="20"/>
      <c r="B33" s="62" t="s">
        <v>10</v>
      </c>
      <c r="C33" s="90">
        <f>863.62562+32.481</f>
        <v>896.10662000000002</v>
      </c>
      <c r="D33" s="37">
        <f>C33/C32*100</f>
        <v>28.685132014990284</v>
      </c>
      <c r="E33" s="37">
        <v>898.5</v>
      </c>
      <c r="F33" s="37">
        <f>E33/E32*100</f>
        <v>23.058563876199763</v>
      </c>
      <c r="G33" s="90">
        <v>949.14480000000003</v>
      </c>
      <c r="H33" s="90">
        <f>G33/G32*100</f>
        <v>24.446598255824888</v>
      </c>
      <c r="I33" s="90">
        <v>949.13778000000002</v>
      </c>
      <c r="J33" s="90">
        <f>I33/I32*100</f>
        <v>26.125190795620746</v>
      </c>
      <c r="K33" s="37">
        <f t="shared" ref="K33:K63" si="2">I33-G33</f>
        <v>-7.0200000000113505E-3</v>
      </c>
      <c r="L33" s="39">
        <f t="shared" ref="L33:L63" si="3">I33/G33*100</f>
        <v>99.999260386824005</v>
      </c>
      <c r="M33" s="20"/>
    </row>
    <row r="34" spans="1:15" s="21" customFormat="1" ht="12.75" customHeight="1" x14ac:dyDescent="0.2">
      <c r="A34" s="20"/>
      <c r="B34" s="62" t="s">
        <v>11</v>
      </c>
      <c r="C34" s="91">
        <f>2206.18645+1.9+0.5+3+14.436</f>
        <v>2226.0224500000004</v>
      </c>
      <c r="D34" s="37">
        <f>C34/C32*100</f>
        <v>71.256864330030396</v>
      </c>
      <c r="E34" s="37">
        <v>2966.1</v>
      </c>
      <c r="F34" s="37">
        <f>E34/E32*100</f>
        <v>76.120207360262796</v>
      </c>
      <c r="G34" s="90">
        <v>2826.1781999999998</v>
      </c>
      <c r="H34" s="90">
        <f>G34/G32*100</f>
        <v>72.792310567123494</v>
      </c>
      <c r="I34" s="91">
        <v>2576.7789600000001</v>
      </c>
      <c r="J34" s="90">
        <f>I34/I32*100</f>
        <v>70.92631163427211</v>
      </c>
      <c r="K34" s="37">
        <f t="shared" si="2"/>
        <v>-249.39923999999974</v>
      </c>
      <c r="L34" s="37">
        <f t="shared" si="3"/>
        <v>91.175388728141783</v>
      </c>
      <c r="M34" s="20"/>
    </row>
    <row r="35" spans="1:15" s="21" customFormat="1" ht="12.75" customHeight="1" x14ac:dyDescent="0.2">
      <c r="A35" s="20"/>
      <c r="B35" s="62" t="s">
        <v>12</v>
      </c>
      <c r="C35" s="91">
        <v>0</v>
      </c>
      <c r="D35" s="39">
        <f>C35/C32*100</f>
        <v>0</v>
      </c>
      <c r="E35" s="39">
        <v>30</v>
      </c>
      <c r="F35" s="37">
        <f>E35/E32*100</f>
        <v>0.76990196581635273</v>
      </c>
      <c r="G35" s="91">
        <v>0</v>
      </c>
      <c r="H35" s="91">
        <f>G35/G32*100</f>
        <v>0</v>
      </c>
      <c r="I35" s="91">
        <v>0</v>
      </c>
      <c r="J35" s="91">
        <f>I35/I32*100</f>
        <v>0</v>
      </c>
      <c r="K35" s="39">
        <f t="shared" si="2"/>
        <v>0</v>
      </c>
      <c r="L35" s="39">
        <v>0</v>
      </c>
      <c r="M35" s="20"/>
    </row>
    <row r="36" spans="1:15" s="21" customFormat="1" ht="12.75" customHeight="1" x14ac:dyDescent="0.2">
      <c r="A36" s="20"/>
      <c r="B36" s="62" t="s">
        <v>13</v>
      </c>
      <c r="C36" s="90">
        <f>1.812</f>
        <v>1.8120000000000001</v>
      </c>
      <c r="D36" s="37">
        <f>C36/C32*100</f>
        <v>5.8003654979317518E-2</v>
      </c>
      <c r="E36" s="39">
        <v>2</v>
      </c>
      <c r="F36" s="74">
        <f>E36/E32*100</f>
        <v>5.1326797721090181E-2</v>
      </c>
      <c r="G36" s="90">
        <v>107.2</v>
      </c>
      <c r="H36" s="90">
        <f>G36/G32*100</f>
        <v>2.7610911770516235</v>
      </c>
      <c r="I36" s="90">
        <v>107.12</v>
      </c>
      <c r="J36" s="90">
        <f>I36/I32*100</f>
        <v>2.9484975701071496</v>
      </c>
      <c r="K36" s="39">
        <f t="shared" si="2"/>
        <v>-7.9999999999998295E-2</v>
      </c>
      <c r="L36" s="39">
        <f t="shared" si="3"/>
        <v>99.925373134328353</v>
      </c>
      <c r="M36" s="20"/>
    </row>
    <row r="37" spans="1:15" s="16" customFormat="1" ht="12.75" customHeight="1" x14ac:dyDescent="0.25">
      <c r="A37" s="15"/>
      <c r="B37" s="55" t="s">
        <v>14</v>
      </c>
      <c r="C37" s="89">
        <f>129.8</f>
        <v>129.80000000000001</v>
      </c>
      <c r="D37" s="35">
        <f>C37/C48*100</f>
        <v>1.2967849552907962</v>
      </c>
      <c r="E37" s="35">
        <v>156.19999999999999</v>
      </c>
      <c r="F37" s="35">
        <f>E37/E48*100</f>
        <v>1.4884412342055613</v>
      </c>
      <c r="G37" s="89">
        <v>156.19999999999999</v>
      </c>
      <c r="H37" s="89">
        <f>G37/G48*100</f>
        <v>1.3024948113197135</v>
      </c>
      <c r="I37" s="89">
        <v>156.19999999999999</v>
      </c>
      <c r="J37" s="89">
        <f>I37/I48*100</f>
        <v>1.408011223475605</v>
      </c>
      <c r="K37" s="38">
        <f t="shared" si="2"/>
        <v>0</v>
      </c>
      <c r="L37" s="38">
        <f t="shared" si="3"/>
        <v>100</v>
      </c>
      <c r="M37" s="15"/>
    </row>
    <row r="38" spans="1:15" s="16" customFormat="1" ht="12.75" customHeight="1" x14ac:dyDescent="0.25">
      <c r="A38" s="15"/>
      <c r="B38" s="55" t="s">
        <v>15</v>
      </c>
      <c r="C38" s="89">
        <f>5.6+44.5404</f>
        <v>50.1404</v>
      </c>
      <c r="D38" s="35">
        <f>C38/C48*100</f>
        <v>0.50093464077243932</v>
      </c>
      <c r="E38" s="35">
        <f>66.8+5</f>
        <v>71.8</v>
      </c>
      <c r="F38" s="35">
        <f>E38/E48*100</f>
        <v>0.68418745592803643</v>
      </c>
      <c r="G38" s="89">
        <v>71.8</v>
      </c>
      <c r="H38" s="89">
        <f>G38/G48*100</f>
        <v>0.59871400417897203</v>
      </c>
      <c r="I38" s="89">
        <v>53.987200000000001</v>
      </c>
      <c r="J38" s="89">
        <f>I38/I48*100</f>
        <v>0.48664906225366317</v>
      </c>
      <c r="K38" s="38">
        <f t="shared" si="2"/>
        <v>-17.812799999999996</v>
      </c>
      <c r="L38" s="35">
        <f t="shared" si="3"/>
        <v>75.191086350974928</v>
      </c>
      <c r="M38" s="15"/>
    </row>
    <row r="39" spans="1:15" s="13" customFormat="1" ht="12.75" customHeight="1" x14ac:dyDescent="0.25">
      <c r="A39" s="12"/>
      <c r="B39" s="65" t="s">
        <v>26</v>
      </c>
      <c r="C39" s="89">
        <f>C40+63.5+102.70897+1.09903</f>
        <v>3467.2955899999997</v>
      </c>
      <c r="D39" s="35">
        <f>C39/C48*100</f>
        <v>34.640498895671215</v>
      </c>
      <c r="E39" s="35">
        <f>E40+275.3</f>
        <v>4015</v>
      </c>
      <c r="F39" s="35">
        <f>E39/E48*100</f>
        <v>38.259228907396469</v>
      </c>
      <c r="G39" s="89">
        <f>G40+201.3</f>
        <v>5247.8</v>
      </c>
      <c r="H39" s="89">
        <f>G39/G48*100</f>
        <v>43.759489570061419</v>
      </c>
      <c r="I39" s="89">
        <f>I40+175.3</f>
        <v>4745.6031199999998</v>
      </c>
      <c r="J39" s="89">
        <f>I39/I48*100</f>
        <v>42.777608547508635</v>
      </c>
      <c r="K39" s="35">
        <f t="shared" si="2"/>
        <v>-502.19688000000042</v>
      </c>
      <c r="L39" s="35">
        <f t="shared" si="3"/>
        <v>90.430334997522763</v>
      </c>
      <c r="M39" s="12"/>
      <c r="N39" s="69"/>
    </row>
    <row r="40" spans="1:15" s="13" customFormat="1" ht="12.75" customHeight="1" x14ac:dyDescent="0.2">
      <c r="A40" s="12"/>
      <c r="B40" s="75" t="s">
        <v>27</v>
      </c>
      <c r="C40" s="91">
        <f>580.93131+715+1701.7709+302.28538</f>
        <v>3299.9875899999997</v>
      </c>
      <c r="D40" s="37">
        <f>C40/C39*100</f>
        <v>95.174683102227235</v>
      </c>
      <c r="E40" s="37">
        <v>3739.7</v>
      </c>
      <c r="F40" s="37">
        <f>E40/E39*100</f>
        <v>93.143212951432133</v>
      </c>
      <c r="G40" s="90">
        <v>5046.5</v>
      </c>
      <c r="H40" s="90">
        <f>G40/G39*100</f>
        <v>96.16410686382865</v>
      </c>
      <c r="I40" s="90">
        <v>4570.3031199999996</v>
      </c>
      <c r="J40" s="90">
        <f>I40/I39*100</f>
        <v>96.306054350368854</v>
      </c>
      <c r="K40" s="37">
        <f t="shared" si="2"/>
        <v>-476.19688000000042</v>
      </c>
      <c r="L40" s="37">
        <f t="shared" si="3"/>
        <v>90.563818884375308</v>
      </c>
      <c r="M40" s="12"/>
      <c r="N40" s="69"/>
    </row>
    <row r="41" spans="1:15" s="13" customFormat="1" ht="12.75" customHeight="1" x14ac:dyDescent="0.2">
      <c r="A41" s="12"/>
      <c r="B41" s="65" t="s">
        <v>64</v>
      </c>
      <c r="C41" s="73">
        <f>C42+C43</f>
        <v>1217.96048</v>
      </c>
      <c r="D41" s="44">
        <f>C41/C48*100</f>
        <v>12.168203594782408</v>
      </c>
      <c r="E41" s="44">
        <f>E42+E43</f>
        <v>1650.3000000000002</v>
      </c>
      <c r="F41" s="44">
        <f>E41/E48*100</f>
        <v>15.725829505822267</v>
      </c>
      <c r="G41" s="73">
        <f>G42+G43</f>
        <v>1820.0372299999999</v>
      </c>
      <c r="H41" s="73">
        <f>G41/G48*100</f>
        <v>15.176626430753545</v>
      </c>
      <c r="I41" s="73">
        <f>I42+I43</f>
        <v>1690.89651</v>
      </c>
      <c r="J41" s="73">
        <f>I41/I48*100</f>
        <v>15.242005530190339</v>
      </c>
      <c r="K41" s="44">
        <f t="shared" si="2"/>
        <v>-129.14071999999987</v>
      </c>
      <c r="L41" s="44">
        <f t="shared" si="3"/>
        <v>92.904501189791603</v>
      </c>
      <c r="M41" s="12"/>
      <c r="N41" s="69"/>
      <c r="O41" s="69"/>
    </row>
    <row r="42" spans="1:15" s="21" customFormat="1" ht="12.75" customHeight="1" x14ac:dyDescent="0.2">
      <c r="A42" s="20"/>
      <c r="B42" s="62" t="s">
        <v>16</v>
      </c>
      <c r="C42" s="90">
        <f>431.52092</f>
        <v>431.52091999999999</v>
      </c>
      <c r="D42" s="37">
        <f>C42/C41*100</f>
        <v>35.429796539868022</v>
      </c>
      <c r="E42" s="37">
        <v>469.1</v>
      </c>
      <c r="F42" s="37">
        <f>E42/E41*100</f>
        <v>28.425134823971398</v>
      </c>
      <c r="G42" s="91">
        <v>516</v>
      </c>
      <c r="H42" s="90">
        <f>G42/G41*100</f>
        <v>28.351068400946943</v>
      </c>
      <c r="I42" s="90">
        <v>503.06401</v>
      </c>
      <c r="J42" s="90">
        <f>I42/I41*100</f>
        <v>29.751318724999908</v>
      </c>
      <c r="K42" s="37">
        <f t="shared" si="2"/>
        <v>-12.935990000000004</v>
      </c>
      <c r="L42" s="37">
        <f t="shared" si="3"/>
        <v>97.493025193798445</v>
      </c>
      <c r="M42" s="20"/>
      <c r="N42" s="82"/>
    </row>
    <row r="43" spans="1:15" s="21" customFormat="1" ht="12.75" customHeight="1" x14ac:dyDescent="0.2">
      <c r="A43" s="20"/>
      <c r="B43" s="62" t="s">
        <v>17</v>
      </c>
      <c r="C43" s="90">
        <f>75.647+484.62636+40+186.1662</f>
        <v>786.43956000000003</v>
      </c>
      <c r="D43" s="37">
        <f>C43/C41*100</f>
        <v>64.570203460131978</v>
      </c>
      <c r="E43" s="37">
        <v>1181.2</v>
      </c>
      <c r="F43" s="37">
        <f>E43/E41*100</f>
        <v>71.574865176028595</v>
      </c>
      <c r="G43" s="90">
        <v>1304.0372299999999</v>
      </c>
      <c r="H43" s="90">
        <f>G43/G41*100</f>
        <v>71.648931599053057</v>
      </c>
      <c r="I43" s="90">
        <v>1187.8325</v>
      </c>
      <c r="J43" s="90">
        <f>I43/I41*100</f>
        <v>70.248681275000095</v>
      </c>
      <c r="K43" s="37">
        <f t="shared" si="2"/>
        <v>-116.20472999999993</v>
      </c>
      <c r="L43" s="37">
        <f t="shared" si="3"/>
        <v>91.088848743988706</v>
      </c>
      <c r="M43" s="20"/>
    </row>
    <row r="44" spans="1:15" s="21" customFormat="1" ht="12.75" customHeight="1" x14ac:dyDescent="0.2">
      <c r="A44" s="20"/>
      <c r="B44" s="55" t="s">
        <v>59</v>
      </c>
      <c r="C44" s="96">
        <f>220</f>
        <v>220</v>
      </c>
      <c r="D44" s="95">
        <v>0</v>
      </c>
      <c r="E44" s="95">
        <v>400</v>
      </c>
      <c r="F44" s="84">
        <f>E44/E48*100</f>
        <v>3.8116292809361365</v>
      </c>
      <c r="G44" s="110">
        <v>506.7</v>
      </c>
      <c r="H44" s="94">
        <f>G44/G48*100</f>
        <v>4.2251864333911575</v>
      </c>
      <c r="I44" s="110">
        <v>506.66160000000002</v>
      </c>
      <c r="J44" s="94">
        <f>I44/I48*100</f>
        <v>4.567126884149217</v>
      </c>
      <c r="K44" s="93">
        <f t="shared" si="2"/>
        <v>-3.8399999999967349E-2</v>
      </c>
      <c r="L44" s="93">
        <f t="shared" si="3"/>
        <v>99.992421551213738</v>
      </c>
      <c r="M44" s="20"/>
    </row>
    <row r="45" spans="1:15" s="13" customFormat="1" ht="12.75" customHeight="1" x14ac:dyDescent="0.25">
      <c r="A45" s="12"/>
      <c r="B45" s="65" t="s">
        <v>18</v>
      </c>
      <c r="C45" s="89">
        <f>572.5+930</f>
        <v>1502.5</v>
      </c>
      <c r="D45" s="38">
        <f>C45/C48*100</f>
        <v>15.010935249032521</v>
      </c>
      <c r="E45" s="38">
        <v>0</v>
      </c>
      <c r="F45" s="38">
        <f>E45/E48*100</f>
        <v>0</v>
      </c>
      <c r="G45" s="92">
        <v>0</v>
      </c>
      <c r="H45" s="92">
        <f>G45/G48*100</f>
        <v>0</v>
      </c>
      <c r="I45" s="92">
        <v>0</v>
      </c>
      <c r="J45" s="92">
        <f>I45/I48*100</f>
        <v>0</v>
      </c>
      <c r="K45" s="38">
        <f t="shared" si="2"/>
        <v>0</v>
      </c>
      <c r="L45" s="38">
        <v>0</v>
      </c>
      <c r="M45" s="12"/>
      <c r="N45" s="69"/>
      <c r="O45" s="69"/>
    </row>
    <row r="46" spans="1:15" s="13" customFormat="1" ht="12.75" customHeight="1" x14ac:dyDescent="0.25">
      <c r="A46" s="12"/>
      <c r="B46" s="65" t="s">
        <v>19</v>
      </c>
      <c r="C46" s="89">
        <v>297.03597000000002</v>
      </c>
      <c r="D46" s="38">
        <f>C46/C48*100</f>
        <v>2.9675791762419741</v>
      </c>
      <c r="E46" s="38">
        <v>303</v>
      </c>
      <c r="F46" s="35">
        <f>E46/E48*100</f>
        <v>2.8873091803091238</v>
      </c>
      <c r="G46" s="89">
        <v>306</v>
      </c>
      <c r="H46" s="89">
        <f>G46/G48*100</f>
        <v>2.5516223576429726</v>
      </c>
      <c r="I46" s="89">
        <v>305.96712000000002</v>
      </c>
      <c r="J46" s="89">
        <f>I46/I48*100</f>
        <v>2.7580354607842978</v>
      </c>
      <c r="K46" s="38">
        <f t="shared" si="2"/>
        <v>-3.2879999999977372E-2</v>
      </c>
      <c r="L46" s="38">
        <f t="shared" si="3"/>
        <v>99.989254901960791</v>
      </c>
      <c r="M46" s="12"/>
    </row>
    <row r="47" spans="1:15" s="13" customFormat="1" ht="12.75" customHeight="1" x14ac:dyDescent="0.25">
      <c r="A47" s="12"/>
      <c r="B47" s="65" t="s">
        <v>31</v>
      </c>
      <c r="C47" s="73">
        <v>0.69616</v>
      </c>
      <c r="D47" s="42">
        <f>C47/C48*100</f>
        <v>6.9550833164502349E-3</v>
      </c>
      <c r="E47" s="44">
        <v>1.3</v>
      </c>
      <c r="F47" s="111">
        <f>E47/E48*100</f>
        <v>1.2387795163042444E-2</v>
      </c>
      <c r="G47" s="73">
        <v>1.31</v>
      </c>
      <c r="H47" s="100">
        <f>G47/G48*100</f>
        <v>1.0923612053961747E-2</v>
      </c>
      <c r="I47" s="73">
        <v>1.30928</v>
      </c>
      <c r="J47" s="101">
        <f>I47/I48*100</f>
        <v>1.1802054639386302E-2</v>
      </c>
      <c r="K47" s="97">
        <f t="shared" si="2"/>
        <v>-7.2000000000005393E-4</v>
      </c>
      <c r="L47" s="35">
        <f t="shared" si="3"/>
        <v>99.945038167938932</v>
      </c>
      <c r="M47" s="12"/>
    </row>
    <row r="48" spans="1:15" s="25" customFormat="1" ht="12.75" customHeight="1" x14ac:dyDescent="0.25">
      <c r="A48" s="24"/>
      <c r="B48" s="32" t="s">
        <v>20</v>
      </c>
      <c r="C48" s="35">
        <f>C32+C37+C38+C39+C41+C44+C45+C46+C47</f>
        <v>10009.36967</v>
      </c>
      <c r="D48" s="34"/>
      <c r="E48" s="35">
        <f>E32+E37+E38+E39+E41+E44+E45+E46+E47</f>
        <v>10494.199999999999</v>
      </c>
      <c r="F48" s="35"/>
      <c r="G48" s="35">
        <f>G32+G37+G38+G39+G41+G44+G45+G46+G47</f>
        <v>11992.37023</v>
      </c>
      <c r="H48" s="35"/>
      <c r="I48" s="35">
        <f>I32+I37+I38+I39+I41+I44+I45+I46+I47</f>
        <v>11093.661569999998</v>
      </c>
      <c r="J48" s="35"/>
      <c r="K48" s="35">
        <f t="shared" si="2"/>
        <v>-898.70866000000206</v>
      </c>
      <c r="L48" s="35">
        <f t="shared" si="3"/>
        <v>92.505996372995554</v>
      </c>
      <c r="M48" s="24"/>
      <c r="N48" s="70"/>
    </row>
    <row r="49" spans="1:20" s="25" customFormat="1" ht="22.5" customHeight="1" x14ac:dyDescent="0.2">
      <c r="A49" s="24"/>
      <c r="B49" s="86" t="s">
        <v>63</v>
      </c>
      <c r="C49" s="40">
        <f>863.58674+32.481+1773.51471+14.436+69.8</f>
        <v>2753.8184500000002</v>
      </c>
      <c r="D49" s="40">
        <f>C49/C48*100</f>
        <v>27.512406283222031</v>
      </c>
      <c r="E49" s="40">
        <f>156.2+898.5+2200</f>
        <v>3254.7</v>
      </c>
      <c r="F49" s="41">
        <f>E49/E48*100</f>
        <v>31.014274551657106</v>
      </c>
      <c r="G49" s="40">
        <f>931.8+17.3448+2159.2+11.5632+142.25</f>
        <v>3262.1579999999999</v>
      </c>
      <c r="H49" s="40">
        <f>G49/G48*100</f>
        <v>27.201945382234914</v>
      </c>
      <c r="I49" s="40">
        <f>931.79298+17.3448+2056.3827+11.5632+142.25</f>
        <v>3159.3336800000002</v>
      </c>
      <c r="J49" s="40">
        <f>I49/I48*100</f>
        <v>28.478727785816172</v>
      </c>
      <c r="K49" s="40">
        <f t="shared" si="2"/>
        <v>-102.82431999999972</v>
      </c>
      <c r="L49" s="40">
        <f t="shared" si="3"/>
        <v>96.847966284894866</v>
      </c>
      <c r="M49" s="24"/>
      <c r="N49" s="102"/>
    </row>
    <row r="50" spans="1:20" s="25" customFormat="1" ht="24" customHeight="1" x14ac:dyDescent="0.2">
      <c r="A50" s="24"/>
      <c r="B50" s="113" t="s">
        <v>48</v>
      </c>
      <c r="C50" s="40">
        <f>429.27848+60+44.5404+580.93131+715+1701.7709+302.28538+102.70897+1.09903+431.52092+75.647+484.62636+40+186.1662+220</f>
        <v>5375.5749500000002</v>
      </c>
      <c r="D50" s="40">
        <f>C50/C48*100</f>
        <v>53.705429285039088</v>
      </c>
      <c r="E50" s="40">
        <f>722.4+62+5+2888.8+850+0.9+1100+100+102.8+1.1+469.1+870+50+158+103.2+400</f>
        <v>7883.3000000000011</v>
      </c>
      <c r="F50" s="40">
        <f>E50/E48*100</f>
        <v>75.120542776009628</v>
      </c>
      <c r="G50" s="40">
        <f>635.815+13.95+67+2673.71709+846.8+0.84791+1100+425.135+26+102.8+1.1+516+110.1+978.93723+50+165+506.7</f>
        <v>8219.9022300000033</v>
      </c>
      <c r="H50" s="40">
        <f>G50/G48*100</f>
        <v>68.542765711461882</v>
      </c>
      <c r="I50" s="40">
        <f>489.88849+13.95+49.1872+2464.26853+846.70088+0.84791+907.6799+350.8059+102.8+1.1+503.06401+110.032+873.90053+40+163.89997+506.6616</f>
        <v>7424.7869200000014</v>
      </c>
      <c r="J50" s="40">
        <f>I50/I48*100</f>
        <v>66.928190238635537</v>
      </c>
      <c r="K50" s="40">
        <f t="shared" si="2"/>
        <v>-795.11531000000195</v>
      </c>
      <c r="L50" s="40">
        <f t="shared" si="3"/>
        <v>90.326949302412785</v>
      </c>
      <c r="M50" s="24"/>
      <c r="N50" s="102"/>
    </row>
    <row r="51" spans="1:20" s="25" customFormat="1" ht="24" x14ac:dyDescent="0.2">
      <c r="A51" s="24"/>
      <c r="B51" s="113" t="s">
        <v>40</v>
      </c>
      <c r="C51" s="40">
        <f>1.84224+297.03597</f>
        <v>298.87821000000002</v>
      </c>
      <c r="D51" s="41">
        <f>C51/C48*100</f>
        <v>2.985984331219131</v>
      </c>
      <c r="E51" s="41">
        <v>303</v>
      </c>
      <c r="F51" s="40">
        <f>E51/E48*100</f>
        <v>2.8873091803091238</v>
      </c>
      <c r="G51" s="41">
        <f>303+3</f>
        <v>306</v>
      </c>
      <c r="H51" s="40">
        <f>G51/G48*100</f>
        <v>2.5516223576429726</v>
      </c>
      <c r="I51" s="40">
        <f>302.96712+3</f>
        <v>305.96712000000002</v>
      </c>
      <c r="J51" s="40">
        <f>I51/I48*100</f>
        <v>2.7580354607842978</v>
      </c>
      <c r="K51" s="68">
        <f t="shared" si="2"/>
        <v>-3.2879999999977372E-2</v>
      </c>
      <c r="L51" s="68">
        <f t="shared" si="3"/>
        <v>99.989254901960791</v>
      </c>
      <c r="M51" s="24"/>
      <c r="N51" s="102"/>
    </row>
    <row r="52" spans="1:20" s="25" customFormat="1" x14ac:dyDescent="0.2">
      <c r="A52" s="24"/>
      <c r="B52" s="36" t="s">
        <v>41</v>
      </c>
      <c r="C52" s="40">
        <f>5.6+63.5+572.5+930</f>
        <v>1571.6</v>
      </c>
      <c r="D52" s="40">
        <f>C52/C48*100</f>
        <v>15.701288410901501</v>
      </c>
      <c r="E52" s="40">
        <f>39.5+4.8+71.4</f>
        <v>115.7</v>
      </c>
      <c r="F52" s="40">
        <f>E52/E48*100</f>
        <v>1.1025137695107776</v>
      </c>
      <c r="G52" s="40">
        <f>15.4+4.8+71.4</f>
        <v>91.600000000000009</v>
      </c>
      <c r="H52" s="40">
        <f>G52/G48*100</f>
        <v>0.76381898026175277</v>
      </c>
      <c r="I52" s="40">
        <f>15.4+4.8+71.4</f>
        <v>91.600000000000009</v>
      </c>
      <c r="J52" s="40">
        <f>I52/I48*100</f>
        <v>0.82569672260157134</v>
      </c>
      <c r="K52" s="41">
        <f t="shared" si="2"/>
        <v>0</v>
      </c>
      <c r="L52" s="41">
        <f t="shared" si="3"/>
        <v>100</v>
      </c>
      <c r="M52" s="24"/>
      <c r="N52" s="102"/>
    </row>
    <row r="53" spans="1:20" s="25" customFormat="1" ht="12.75" customHeight="1" x14ac:dyDescent="0.2">
      <c r="A53" s="24"/>
      <c r="B53" s="61" t="s">
        <v>49</v>
      </c>
      <c r="C53" s="40">
        <v>0.69616</v>
      </c>
      <c r="D53" s="68">
        <f>C53/C48*100</f>
        <v>6.9550833164502349E-3</v>
      </c>
      <c r="E53" s="40">
        <v>1.3</v>
      </c>
      <c r="F53" s="68">
        <f>E53/E48*100</f>
        <v>1.2387795163042444E-2</v>
      </c>
      <c r="G53" s="40">
        <v>1.31</v>
      </c>
      <c r="H53" s="68">
        <f>G53/G48*100</f>
        <v>1.0923612053961747E-2</v>
      </c>
      <c r="I53" s="40">
        <v>1.30928</v>
      </c>
      <c r="J53" s="68">
        <f>I53/I48*100</f>
        <v>1.1802054639386302E-2</v>
      </c>
      <c r="K53" s="83">
        <f t="shared" si="2"/>
        <v>-7.2000000000005393E-4</v>
      </c>
      <c r="L53" s="40">
        <f t="shared" si="3"/>
        <v>99.945038167938932</v>
      </c>
      <c r="M53" s="24"/>
      <c r="N53" s="102"/>
    </row>
    <row r="54" spans="1:20" s="25" customFormat="1" x14ac:dyDescent="0.2">
      <c r="A54" s="24"/>
      <c r="B54" s="36" t="s">
        <v>42</v>
      </c>
      <c r="C54" s="40">
        <f>0.03888+1.55102+1.9+0.5+3+1.812</f>
        <v>8.8018999999999998</v>
      </c>
      <c r="D54" s="40">
        <f>C54/C48*100</f>
        <v>8.7936606301803208E-2</v>
      </c>
      <c r="E54" s="40">
        <f>1.5+1.7+1+2+30</f>
        <v>36.200000000000003</v>
      </c>
      <c r="F54" s="40">
        <f>E54/E48*100</f>
        <v>0.34495244992472035</v>
      </c>
      <c r="G54" s="40">
        <f>1.5+1.7+1+107.2</f>
        <v>111.4</v>
      </c>
      <c r="H54" s="40">
        <f>G54/G48*100</f>
        <v>0.92892395634453329</v>
      </c>
      <c r="I54" s="40">
        <f>1.468+1.7+0.379+107.12</f>
        <v>110.667</v>
      </c>
      <c r="J54" s="41">
        <f>I54/I48*100</f>
        <v>0.99756964192301412</v>
      </c>
      <c r="K54" s="40">
        <f t="shared" si="2"/>
        <v>-0.73300000000000409</v>
      </c>
      <c r="L54" s="40">
        <f t="shared" si="3"/>
        <v>99.342010771992818</v>
      </c>
      <c r="M54" s="24"/>
      <c r="N54" s="102"/>
    </row>
    <row r="55" spans="1:20" s="25" customFormat="1" x14ac:dyDescent="0.2">
      <c r="A55" s="24"/>
      <c r="B55" s="32" t="s">
        <v>50</v>
      </c>
      <c r="C55" s="45">
        <f>C56+C57+C58+C59+C60+C61</f>
        <v>10009.36967</v>
      </c>
      <c r="D55" s="45"/>
      <c r="E55" s="45">
        <f>E56+E57+E58+E59+E60+E61</f>
        <v>10494.2</v>
      </c>
      <c r="F55" s="45"/>
      <c r="G55" s="45">
        <f>G56+G57+G58+G59+G60+G61</f>
        <v>11992.37023</v>
      </c>
      <c r="H55" s="45"/>
      <c r="I55" s="45">
        <f>I56+I57+I58+I59+I60+I61</f>
        <v>11093.700777999997</v>
      </c>
      <c r="J55" s="45"/>
      <c r="K55" s="45">
        <f t="shared" si="2"/>
        <v>-898.66945200000373</v>
      </c>
      <c r="L55" s="45">
        <f t="shared" si="3"/>
        <v>92.506323314202717</v>
      </c>
      <c r="M55" s="24"/>
      <c r="N55" s="70"/>
      <c r="O55" s="70"/>
    </row>
    <row r="56" spans="1:20" s="25" customFormat="1" x14ac:dyDescent="0.2">
      <c r="A56" s="24"/>
      <c r="B56" s="36" t="s">
        <v>51</v>
      </c>
      <c r="C56" s="40">
        <f>863.62562+32.481+2206.18645+1.9+0.5+3+14.436+1.812+129.8+297.03597+0.69616</f>
        <v>3551.4732000000004</v>
      </c>
      <c r="D56" s="40">
        <f>C56/C55*100</f>
        <v>35.481487017553626</v>
      </c>
      <c r="E56" s="40">
        <v>4357.1000000000004</v>
      </c>
      <c r="F56" s="40">
        <f>E56/E55*100</f>
        <v>41.519124849917098</v>
      </c>
      <c r="G56" s="40">
        <f>931.8+17.3448+15.4+2796.515+11.5632+1.7+1+107.2+156.2+303+3+1.31</f>
        <v>4346.0330000000004</v>
      </c>
      <c r="H56" s="40">
        <f>G56/G55*100</f>
        <v>36.239983561614906</v>
      </c>
      <c r="I56" s="40">
        <f>931.79298+17.3448+15.4+2547.73675999999+11.5632+1.7+0.379+107.12+156.2+302.96712+3+1.30928</f>
        <v>4096.5131399999991</v>
      </c>
      <c r="J56" s="40">
        <f>I56/I55*100</f>
        <v>36.926479467733849</v>
      </c>
      <c r="K56" s="40">
        <f t="shared" si="2"/>
        <v>-249.51986000000124</v>
      </c>
      <c r="L56" s="40">
        <f t="shared" si="3"/>
        <v>94.258675440338322</v>
      </c>
      <c r="M56" s="24"/>
      <c r="N56" s="70"/>
      <c r="O56" s="70"/>
      <c r="T56" s="70"/>
    </row>
    <row r="57" spans="1:20" s="25" customFormat="1" ht="24" customHeight="1" x14ac:dyDescent="0.2">
      <c r="A57" s="24"/>
      <c r="B57" s="113" t="s">
        <v>62</v>
      </c>
      <c r="C57" s="40">
        <f>5.6+44.5404</f>
        <v>50.1404</v>
      </c>
      <c r="D57" s="40">
        <f>C57/C55*100</f>
        <v>0.50093464077243932</v>
      </c>
      <c r="E57" s="40">
        <v>71.8</v>
      </c>
      <c r="F57" s="40">
        <f>E57/E55*100</f>
        <v>0.68418745592803643</v>
      </c>
      <c r="G57" s="40">
        <f>4.8+67</f>
        <v>71.8</v>
      </c>
      <c r="H57" s="40">
        <f>G57/G55*100</f>
        <v>0.59871400417897203</v>
      </c>
      <c r="I57" s="40">
        <f>4.8+49.1872</f>
        <v>53.987199999999994</v>
      </c>
      <c r="J57" s="40">
        <f>I57/I55*100</f>
        <v>0.48664734231035356</v>
      </c>
      <c r="K57" s="40">
        <f t="shared" si="2"/>
        <v>-17.812800000000003</v>
      </c>
      <c r="L57" s="40">
        <f t="shared" si="3"/>
        <v>75.191086350974928</v>
      </c>
      <c r="M57" s="24"/>
      <c r="N57" s="70"/>
      <c r="O57" s="70"/>
    </row>
    <row r="58" spans="1:20" s="25" customFormat="1" x14ac:dyDescent="0.2">
      <c r="A58" s="24"/>
      <c r="B58" s="36" t="s">
        <v>52</v>
      </c>
      <c r="C58" s="40">
        <f>580.93131+715+1701.7709+302.28538</f>
        <v>3299.9875899999997</v>
      </c>
      <c r="D58" s="41">
        <f>C58/C55*100</f>
        <v>32.968985048985608</v>
      </c>
      <c r="E58" s="40">
        <v>3739.7</v>
      </c>
      <c r="F58" s="40">
        <f>E58/E55*100</f>
        <v>35.635875054792166</v>
      </c>
      <c r="G58" s="40">
        <f>2673.71709+846.8+0.84791+1100+425.135</f>
        <v>5046.5</v>
      </c>
      <c r="H58" s="40">
        <f>G58/G55*100</f>
        <v>42.080922313219808</v>
      </c>
      <c r="I58" s="40">
        <f>2464.26853+846.740088+0.84791+907.6799+350.8059</f>
        <v>4570.3423279999997</v>
      </c>
      <c r="J58" s="40">
        <f>I58/I55*100</f>
        <v>41.197634761012132</v>
      </c>
      <c r="K58" s="40">
        <f t="shared" si="2"/>
        <v>-476.15767200000028</v>
      </c>
      <c r="L58" s="40">
        <f t="shared" si="3"/>
        <v>90.564595818884371</v>
      </c>
      <c r="M58" s="24"/>
      <c r="N58" s="70"/>
      <c r="O58" s="70"/>
    </row>
    <row r="59" spans="1:20" s="25" customFormat="1" x14ac:dyDescent="0.2">
      <c r="A59" s="24"/>
      <c r="B59" s="36" t="s">
        <v>53</v>
      </c>
      <c r="C59" s="40">
        <f>63.5</f>
        <v>63.5</v>
      </c>
      <c r="D59" s="40">
        <f>C59/C55*100</f>
        <v>0.63440558290420301</v>
      </c>
      <c r="E59" s="40">
        <v>171.4</v>
      </c>
      <c r="F59" s="40">
        <f>E59/E55*100</f>
        <v>1.6332831468811344</v>
      </c>
      <c r="G59" s="40">
        <f>71.4+26</f>
        <v>97.4</v>
      </c>
      <c r="H59" s="40">
        <f>G59/G55*100</f>
        <v>0.81218306416478947</v>
      </c>
      <c r="I59" s="40">
        <v>71.400000000000006</v>
      </c>
      <c r="J59" s="40">
        <f>I59/I55*100</f>
        <v>0.64360848943748228</v>
      </c>
      <c r="K59" s="41">
        <f t="shared" si="2"/>
        <v>-26</v>
      </c>
      <c r="L59" s="40">
        <f t="shared" si="3"/>
        <v>73.30595482546201</v>
      </c>
      <c r="M59" s="24"/>
      <c r="N59" s="70"/>
      <c r="O59" s="70"/>
    </row>
    <row r="60" spans="1:20" s="25" customFormat="1" ht="34.5" customHeight="1" x14ac:dyDescent="0.2">
      <c r="A60" s="24"/>
      <c r="B60" s="113" t="s">
        <v>54</v>
      </c>
      <c r="C60" s="40">
        <f>102.70897+1.09903+431.52092+75.647+484.62636+40+186.1662+220</f>
        <v>1541.7684800000002</v>
      </c>
      <c r="D60" s="40">
        <f>C60/C55*100</f>
        <v>15.403252460751609</v>
      </c>
      <c r="E60" s="40">
        <v>2154.1999999999998</v>
      </c>
      <c r="F60" s="40">
        <f>E60/E55*100</f>
        <v>20.527529492481559</v>
      </c>
      <c r="G60" s="40">
        <f>102.8+1.1+516+110.1+978.93723+50+165+506.7</f>
        <v>2430.6372299999998</v>
      </c>
      <c r="H60" s="40">
        <f>G60/G55*100</f>
        <v>20.268197056821517</v>
      </c>
      <c r="I60" s="40">
        <f>102.8+1.1+503.06401+110.032+873.90053+40+163.89997+506.6616</f>
        <v>2301.45811</v>
      </c>
      <c r="J60" s="40">
        <f>I60/I55*100</f>
        <v>20.745629939506205</v>
      </c>
      <c r="K60" s="40">
        <f t="shared" si="2"/>
        <v>-129.17911999999978</v>
      </c>
      <c r="L60" s="40">
        <f t="shared" si="3"/>
        <v>94.685380508221712</v>
      </c>
      <c r="M60" s="24"/>
      <c r="N60" s="70"/>
      <c r="O60" s="70"/>
    </row>
    <row r="61" spans="1:20" s="25" customFormat="1" x14ac:dyDescent="0.2">
      <c r="A61" s="24"/>
      <c r="B61" s="36" t="s">
        <v>55</v>
      </c>
      <c r="C61" s="40">
        <f>572.5+930</f>
        <v>1502.5</v>
      </c>
      <c r="D61" s="41">
        <f>C61/C55*100</f>
        <v>15.010935249032521</v>
      </c>
      <c r="E61" s="41">
        <v>0</v>
      </c>
      <c r="F61" s="41">
        <f>E61/E55*100</f>
        <v>0</v>
      </c>
      <c r="G61" s="41">
        <v>0</v>
      </c>
      <c r="H61" s="41">
        <f>G61/G55*100</f>
        <v>0</v>
      </c>
      <c r="I61" s="41">
        <v>0</v>
      </c>
      <c r="J61" s="41">
        <f>I61/I55*100</f>
        <v>0</v>
      </c>
      <c r="K61" s="41">
        <f t="shared" si="2"/>
        <v>0</v>
      </c>
      <c r="L61" s="41">
        <v>0</v>
      </c>
      <c r="M61" s="24"/>
      <c r="N61" s="70"/>
      <c r="O61" s="70"/>
    </row>
    <row r="62" spans="1:20" s="13" customFormat="1" ht="23.25" customHeight="1" x14ac:dyDescent="0.2">
      <c r="A62" s="12"/>
      <c r="B62" s="32" t="s">
        <v>21</v>
      </c>
      <c r="C62" s="47">
        <f>C32/C26*100</f>
        <v>39.25227220159946</v>
      </c>
      <c r="D62" s="34"/>
      <c r="E62" s="47">
        <f>E32/E26*100</f>
        <v>45.948846149310754</v>
      </c>
      <c r="F62" s="34"/>
      <c r="G62" s="46">
        <f>G32/G26*100</f>
        <v>49.966191781527094</v>
      </c>
      <c r="H62" s="34"/>
      <c r="I62" s="47">
        <f>I32/I26*100</f>
        <v>45.659691954278713</v>
      </c>
      <c r="J62" s="34"/>
      <c r="K62" s="45">
        <f t="shared" si="2"/>
        <v>-4.3064998272483805</v>
      </c>
      <c r="L62" s="45">
        <f t="shared" si="3"/>
        <v>91.381172601509874</v>
      </c>
      <c r="M62" s="12"/>
    </row>
    <row r="63" spans="1:20" s="13" customFormat="1" x14ac:dyDescent="0.2">
      <c r="A63" s="12"/>
      <c r="B63" s="32" t="s">
        <v>22</v>
      </c>
      <c r="C63" s="33">
        <v>3075.2</v>
      </c>
      <c r="D63" s="34"/>
      <c r="E63" s="57">
        <v>0</v>
      </c>
      <c r="F63" s="33"/>
      <c r="G63" s="33">
        <v>3746.4</v>
      </c>
      <c r="H63" s="33"/>
      <c r="I63" s="57">
        <v>3497</v>
      </c>
      <c r="J63" s="34"/>
      <c r="K63" s="84">
        <f t="shared" si="2"/>
        <v>-249.40000000000009</v>
      </c>
      <c r="L63" s="84">
        <f t="shared" si="3"/>
        <v>93.342942558189193</v>
      </c>
      <c r="M63" s="12"/>
    </row>
    <row r="64" spans="1:20" s="13" customFormat="1" ht="12.75" customHeight="1" x14ac:dyDescent="0.2">
      <c r="A64" s="12"/>
      <c r="B64" s="32" t="s">
        <v>23</v>
      </c>
      <c r="C64" s="33">
        <f>C7-C48</f>
        <v>-224.75759000000107</v>
      </c>
      <c r="D64" s="33"/>
      <c r="E64" s="57">
        <f>E7-E48</f>
        <v>-400</v>
      </c>
      <c r="F64" s="33"/>
      <c r="G64" s="33">
        <f>G7-G48</f>
        <v>-346.86223000000246</v>
      </c>
      <c r="H64" s="33"/>
      <c r="I64" s="33">
        <f>I7-I48</f>
        <v>545.79096000000027</v>
      </c>
      <c r="J64" s="34"/>
      <c r="K64" s="84"/>
      <c r="L64" s="84"/>
      <c r="M64" s="12"/>
      <c r="N64" s="69"/>
    </row>
    <row r="65" spans="1:14" s="13" customFormat="1" ht="36.75" customHeight="1" x14ac:dyDescent="0.2">
      <c r="A65" s="12"/>
      <c r="B65" s="108" t="s">
        <v>43</v>
      </c>
      <c r="C65" s="47">
        <f>C64/C26*100</f>
        <v>-2.8240757121758158</v>
      </c>
      <c r="D65" s="47"/>
      <c r="E65" s="46">
        <f>E64/E26*100</f>
        <v>-4.7168142636463335</v>
      </c>
      <c r="F65" s="47"/>
      <c r="G65" s="47">
        <f>G64/G26*100</f>
        <v>-4.4639490109777284</v>
      </c>
      <c r="H65" s="47"/>
      <c r="I65" s="47"/>
      <c r="J65" s="56"/>
      <c r="K65" s="84"/>
      <c r="L65" s="84"/>
      <c r="M65" s="12"/>
      <c r="N65" s="69"/>
    </row>
    <row r="66" spans="1:14" s="13" customFormat="1" x14ac:dyDescent="0.2">
      <c r="A66" s="12"/>
      <c r="B66" s="65" t="s">
        <v>38</v>
      </c>
      <c r="C66" s="46">
        <v>0</v>
      </c>
      <c r="D66" s="47"/>
      <c r="E66" s="46">
        <v>0</v>
      </c>
      <c r="F66" s="47"/>
      <c r="G66" s="46">
        <v>0</v>
      </c>
      <c r="H66" s="47"/>
      <c r="I66" s="46">
        <v>0</v>
      </c>
      <c r="J66" s="56"/>
      <c r="K66" s="84"/>
      <c r="L66" s="84"/>
      <c r="M66" s="12"/>
      <c r="N66" s="69"/>
    </row>
    <row r="67" spans="1:14" x14ac:dyDescent="0.2">
      <c r="B67" s="32" t="s">
        <v>32</v>
      </c>
      <c r="C67" s="98">
        <v>346.86223000000001</v>
      </c>
      <c r="D67" s="58"/>
      <c r="E67" s="59"/>
      <c r="F67" s="60"/>
      <c r="G67" s="59"/>
      <c r="H67" s="60"/>
      <c r="I67" s="98">
        <v>892.65319</v>
      </c>
      <c r="J67" s="60"/>
      <c r="K67" s="84"/>
      <c r="L67" s="84"/>
      <c r="M67" s="1"/>
    </row>
    <row r="68" spans="1:14" x14ac:dyDescent="0.2">
      <c r="B68" s="99" t="s">
        <v>60</v>
      </c>
      <c r="C68" s="98">
        <v>5276.6323000000002</v>
      </c>
      <c r="D68" s="98"/>
      <c r="E68" s="98">
        <v>5276.6323000000002</v>
      </c>
      <c r="F68" s="98"/>
      <c r="G68" s="98"/>
      <c r="H68" s="98"/>
      <c r="I68" s="98">
        <v>7068.2075999999997</v>
      </c>
      <c r="J68" s="98"/>
      <c r="K68" s="84">
        <f>I68-E68</f>
        <v>1791.5752999999995</v>
      </c>
      <c r="L68" s="93">
        <f>I68/E68*100</f>
        <v>133.95300635217654</v>
      </c>
      <c r="M68" s="1"/>
    </row>
    <row r="69" spans="1:14" x14ac:dyDescent="0.2">
      <c r="B69" s="99" t="s">
        <v>61</v>
      </c>
      <c r="C69" s="98">
        <v>483.50531999999998</v>
      </c>
      <c r="D69" s="98"/>
      <c r="E69" s="98">
        <v>483.50531999999998</v>
      </c>
      <c r="F69" s="98"/>
      <c r="G69" s="98"/>
      <c r="H69" s="98"/>
      <c r="I69" s="98">
        <v>468.44920000000002</v>
      </c>
      <c r="J69" s="98"/>
      <c r="K69" s="84">
        <f>I69-E69</f>
        <v>-15.056119999999964</v>
      </c>
      <c r="L69" s="84">
        <f>I69/E69*100</f>
        <v>96.8860487408908</v>
      </c>
      <c r="M69" s="1"/>
    </row>
    <row r="70" spans="1:14" x14ac:dyDescent="0.2">
      <c r="M70" s="1"/>
    </row>
    <row r="71" spans="1:14" x14ac:dyDescent="0.2">
      <c r="M71" s="1"/>
    </row>
    <row r="72" spans="1:14" x14ac:dyDescent="0.2">
      <c r="M72" s="1"/>
    </row>
    <row r="73" spans="1:14" x14ac:dyDescent="0.2">
      <c r="M73" s="1"/>
    </row>
    <row r="74" spans="1:14" ht="12.75" customHeight="1" x14ac:dyDescent="0.2">
      <c r="M74" s="1"/>
    </row>
    <row r="75" spans="1:14" x14ac:dyDescent="0.2">
      <c r="M75" s="1"/>
    </row>
  </sheetData>
  <mergeCells count="23">
    <mergeCell ref="H30:H31"/>
    <mergeCell ref="D30:D31"/>
    <mergeCell ref="I30:I31"/>
    <mergeCell ref="J4:J5"/>
    <mergeCell ref="K4:L4"/>
    <mergeCell ref="H4:H5"/>
    <mergeCell ref="G4:G5"/>
    <mergeCell ref="J1:L1"/>
    <mergeCell ref="B28:L28"/>
    <mergeCell ref="K30:L30"/>
    <mergeCell ref="G30:G31"/>
    <mergeCell ref="B30:B31"/>
    <mergeCell ref="J30:J31"/>
    <mergeCell ref="C30:C31"/>
    <mergeCell ref="I4:I5"/>
    <mergeCell ref="C4:C5"/>
    <mergeCell ref="D4:D5"/>
    <mergeCell ref="E30:E31"/>
    <mergeCell ref="F30:F31"/>
    <mergeCell ref="B2:L2"/>
    <mergeCell ref="B4:B5"/>
    <mergeCell ref="E4:E5"/>
    <mergeCell ref="F4:F5"/>
  </mergeCells>
  <phoneticPr fontId="6" type="noConversion"/>
  <pageMargins left="0" right="0" top="0" bottom="0" header="0.51181102362204722" footer="0.51181102362204722"/>
  <pageSetup paperSize="9" scale="85" firstPageNumber="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0</cp:revision>
  <cp:lastPrinted>2025-05-22T12:11:18Z</cp:lastPrinted>
  <dcterms:created xsi:type="dcterms:W3CDTF">2014-03-29T17:00:11Z</dcterms:created>
  <dcterms:modified xsi:type="dcterms:W3CDTF">2025-06-17T07:39:34Z</dcterms:modified>
</cp:coreProperties>
</file>